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 17" sheetId="9" r:id="rId9"/>
    <sheet name="грудень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<sst xmlns="http://schemas.openxmlformats.org/spreadsheetml/2006/main" count="1529" uniqueCount="244">
  <si>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</si>
  <si>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</si>
  <si>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</si>
  <si>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</si>
  <si>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</si>
  <si>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</si>
  <si>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</si>
  <si>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</si>
  <si>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</si>
  <si>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</si>
  <si>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</si>
  <si>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</si>
  <si>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</si>
  <si>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</si>
  <si>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</si>
  <si>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</si>
  <si>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</si>
  <si>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</si>
  <si>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</si>
  <si>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</si>
  <si>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</si>
  <si>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</si>
  <si>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</si>
  <si>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</si>
  <si>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</si>
  <si>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</si>
  <si>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</si>
  <si>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</si>
  <si>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</si>
  <si>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</si>
  <si>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</si>
  <si>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</si>
  <si>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</si>
  <si>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</si>
  <si>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</si>
  <si>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</si>
  <si>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</si>
  <si>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</si>
  <si>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</si>
  <si>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</si>
  <si>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</si>
  <si>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</si>
  <si>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</si>
  <si>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</si>
  <si>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</si>
  <si>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</si>
  <si>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</si>
  <si>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</si>
  <si>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</si>
  <si>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</si>
  <si>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</si>
  <si>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</si>
  <si>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</si>
  <si>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</si>
  <si>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</si>
  <si>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</si>
  <si>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</si>
  <si>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</si>
  <si>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</si>
  <si>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</si>
  <si>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</si>
  <si>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</si>
  <si>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</si>
  <si>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</si>
  <si>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</si>
  <si>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</si>
  <si>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</si>
  <si>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</si>
  <si>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</si>
  <si>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</si>
  <si>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</si>
  <si>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</si>
  <si>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</si>
  <si>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</si>
  <si>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</si>
  <si>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</si>
  <si>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</si>
  <si>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</si>
  <si>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</si>
  <si>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</si>
  <si>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</si>
  <si>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</si>
  <si>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</si>
  <si>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</si>
  <si>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</si>
  <si>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</si>
  <si>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</si>
  <si>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</si>
  <si>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</si>
  <si>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</si>
  <si>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</si>
  <si>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</si>
  <si>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</si>
  <si>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</si>
  <si>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</si>
  <si>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</si>
  <si>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</si>
  <si>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</si>
  <si>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</si>
  <si>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</si>
  <si>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</si>
  <si>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</si>
  <si>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</si>
  <si>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</si>
  <si>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</si>
  <si>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</si>
  <si>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</si>
  <si>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</si>
  <si>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</si>
  <si>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</si>
  <si>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</si>
  <si>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</si>
  <si>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</si>
  <si>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</si>
  <si>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</si>
  <si>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</si>
  <si>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</si>
  <si>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</si>
  <si>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</si>
  <si>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</si>
  <si>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</si>
  <si>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</si>
  <si>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</si>
  <si>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</si>
  <si>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</si>
  <si>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</si>
  <si>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</si>
  <si>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</si>
  <si>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</si>
  <si>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</si>
  <si>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</si>
  <si>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</si>
  <si>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</si>
  <si>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</si>
  <si>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</si>
  <si>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</si>
  <si>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</si>
  <si>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</si>
  <si>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</si>
  <si>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</si>
  <si>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</si>
  <si>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</si>
  <si>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</si>
  <si>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</si>
  <si>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</si>
  <si>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</si>
  <si>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</si>
  <si>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</si>
  <si>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</si>
  <si>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</si>
  <si>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</si>
  <si>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</si>
  <si>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</si>
  <si>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</si>
  <si>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</si>
  <si>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</si>
  <si>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</si>
  <si>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</si>
  <si>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</si>
  <si>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</si>
  <si>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</si>
  <si>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</si>
  <si>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</si>
  <si>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</si>
  <si>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</si>
  <si>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</si>
  <si>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</si>
  <si>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</si>
  <si>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</si>
  <si>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</si>
  <si>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</si>
  <si>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</si>
  <si>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</si>
  <si>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</si>
  <si>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</si>
  <si>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</si>
  <si>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</si>
  <si>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</si>
  <si>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</si>
  <si>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</si>
  <si>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</si>
  <si>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</si>
  <si>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</si>
  <si>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</si>
  <si>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</si>
  <si>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</si>
  <si>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</si>
  <si>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</si>
  <si>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</si>
  <si>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</si>
  <si>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</si>
  <si>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</si>
  <si>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</si>
  <si>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</si>
  <si>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</si>
  <si>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</si>
  <si>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</si>
  <si>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</si>
  <si>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</si>
  <si>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</si>
  <si>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</si>
  <si>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</si>
  <si>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</si>
  <si>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</si>
  <si>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</si>
  <si>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</si>
  <si>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</si>
  <si>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</si>
  <si>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</si>
  <si>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</si>
  <si>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</si>
  <si>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</si>
  <si>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</si>
  <si>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</si>
  <si>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</si>
  <si>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</si>
  <si>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</si>
  <si>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</si>
  <si>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</si>
  <si>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</si>
  <si>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</si>
  <si>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</si>
  <si>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</si>
  <si>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</si>
  <si>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</si>
  <si>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</si>
  <si>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</si>
  <si>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</si>
  <si>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</si>
  <si>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</si>
  <si>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</si>
  <si>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</si>
  <si>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</si>
  <si>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</si>
  <si>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</si>
  <si>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</si>
  <si>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</si>
  <si>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</si>
  <si>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</si>
  <si>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</si>
  <si>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</si>
  <si>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</si>
  <si>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29.09.2017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</si>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</sst>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6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5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1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3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1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1" fillId="0" borderId="0" xfId="55" applyNumberFormat="1" applyFont="1" applyProtection="1">
      <alignment/>
      <protection/>
    </xf>
    <xf numFmtId="182" fontId="84" fillId="0" borderId="0" xfId="55" applyNumberFormat="1" applyFont="1" applyProtection="1">
      <alignment/>
      <protection/>
    </xf>
    <xf numFmtId="182" fontId="83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Fill="1" applyBorder="1" applyAlignment="1" applyProtection="1">
      <alignment/>
      <protection/>
    </xf>
    <xf numFmtId="191" fontId="82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4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6" fillId="0" borderId="0" xfId="0" applyNumberFormat="1" applyFont="1" applyAlignment="1" applyProtection="1">
      <alignment/>
      <protection/>
    </xf>
    <xf numFmtId="4" fontId="86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7" fillId="39" borderId="10" xfId="0" applyNumberFormat="1" applyFont="1" applyFill="1" applyBorder="1" applyAlignment="1">
      <alignment/>
    </xf>
    <xf numFmtId="182" fontId="87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9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12" fillId="0" borderId="0" xfId="55" applyFont="1" applyAlignment="1" applyProtection="1">
      <alignment horizontal="center"/>
      <protection/>
    </xf>
    <xf numFmtId="0" fontId="81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4" fillId="13" borderId="18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right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42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12" t="s">
        <v>242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6"/>
    </row>
    <row r="2" spans="2:19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239</v>
      </c>
      <c r="O3" s="325" t="s">
        <v>241</v>
      </c>
      <c r="P3" s="325"/>
      <c r="Q3" s="325"/>
      <c r="R3" s="325"/>
      <c r="S3" s="325"/>
    </row>
    <row r="4" spans="1:19" ht="22.5" customHeight="1">
      <c r="A4" s="314"/>
      <c r="B4" s="316"/>
      <c r="C4" s="317"/>
      <c r="D4" s="318"/>
      <c r="E4" s="326" t="s">
        <v>236</v>
      </c>
      <c r="F4" s="328" t="s">
        <v>33</v>
      </c>
      <c r="G4" s="330" t="s">
        <v>237</v>
      </c>
      <c r="H4" s="323" t="s">
        <v>238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243</v>
      </c>
      <c r="P4" s="330" t="s">
        <v>49</v>
      </c>
      <c r="Q4" s="335" t="s">
        <v>48</v>
      </c>
      <c r="R4" s="91" t="s">
        <v>64</v>
      </c>
      <c r="S4" s="91"/>
    </row>
    <row r="5" spans="1:19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240</v>
      </c>
      <c r="L5" s="337"/>
      <c r="M5" s="338"/>
      <c r="N5" s="324"/>
      <c r="O5" s="333"/>
      <c r="P5" s="331"/>
      <c r="Q5" s="335"/>
      <c r="R5" s="339" t="s">
        <v>215</v>
      </c>
      <c r="S5" s="34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921382.18</v>
      </c>
      <c r="G8" s="151">
        <f>F8-E8</f>
        <v>-25249.419999999925</v>
      </c>
      <c r="H8" s="152">
        <f>F8/E8*100</f>
        <v>97.33270894400738</v>
      </c>
      <c r="I8" s="153">
        <f aca="true" t="shared" si="0" ref="I8:I15">F8-D8</f>
        <v>-377068.92000000004</v>
      </c>
      <c r="J8" s="153">
        <f aca="true" t="shared" si="1" ref="J8:J15">F8/D8*100</f>
        <v>70.96009853586322</v>
      </c>
      <c r="K8" s="151">
        <v>708038.65</v>
      </c>
      <c r="L8" s="151">
        <f aca="true" t="shared" si="2" ref="L8:L25">F8-K8</f>
        <v>213343.53000000003</v>
      </c>
      <c r="M8" s="205">
        <f aca="true" t="shared" si="3" ref="M8:M20">F8/K8</f>
        <v>1.3013162205198827</v>
      </c>
      <c r="N8" s="151">
        <f>N9+N15+N18+N19+N23+N17</f>
        <v>100820.39999999997</v>
      </c>
      <c r="O8" s="151">
        <f>O9+O15+O18+O19+O23+O17</f>
        <v>83308.69999999997</v>
      </c>
      <c r="P8" s="151">
        <f>O8-N8</f>
        <v>-17511.699999999997</v>
      </c>
      <c r="Q8" s="151">
        <f aca="true" t="shared" si="4" ref="Q8:Q16">O8/N8*100</f>
        <v>82.63079694188875</v>
      </c>
      <c r="R8" s="15">
        <f>R9+R15+R18+R19+R23</f>
        <v>102514</v>
      </c>
      <c r="S8" s="15">
        <f>O8-R8</f>
        <v>-19205.300000000032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547140</v>
      </c>
      <c r="F9" s="156">
        <v>539568.8</v>
      </c>
      <c r="G9" s="150">
        <f>F9-E9</f>
        <v>-7571.199999999953</v>
      </c>
      <c r="H9" s="157">
        <f>F9/E9*100</f>
        <v>98.61622253902111</v>
      </c>
      <c r="I9" s="158">
        <f t="shared" si="0"/>
        <v>-227076.19999999995</v>
      </c>
      <c r="J9" s="158">
        <f t="shared" si="1"/>
        <v>70.38052814536063</v>
      </c>
      <c r="K9" s="227">
        <v>385326.41</v>
      </c>
      <c r="L9" s="159">
        <f t="shared" si="2"/>
        <v>154242.39000000007</v>
      </c>
      <c r="M9" s="206">
        <f t="shared" si="3"/>
        <v>1.4002902110966131</v>
      </c>
      <c r="N9" s="157">
        <f>E9-серпень!E9</f>
        <v>65900</v>
      </c>
      <c r="O9" s="160">
        <f>F9-серпень!F9</f>
        <v>54788.52000000002</v>
      </c>
      <c r="P9" s="161">
        <f>O9-N9</f>
        <v>-11111.479999999981</v>
      </c>
      <c r="Q9" s="158">
        <f t="shared" si="4"/>
        <v>83.13887708649472</v>
      </c>
      <c r="R9" s="100">
        <v>71000</v>
      </c>
      <c r="S9" s="100">
        <f>O9-R9</f>
        <v>-16211.479999999981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493537.55</v>
      </c>
      <c r="G10" s="103">
        <f aca="true" t="shared" si="5" ref="G10:G35">F10-E10</f>
        <v>-4768.450000000012</v>
      </c>
      <c r="H10" s="105">
        <f aca="true" t="shared" si="6" ref="H10:H15">F10/E10*100</f>
        <v>99.04306791409294</v>
      </c>
      <c r="I10" s="104">
        <f t="shared" si="0"/>
        <v>-207779.45</v>
      </c>
      <c r="J10" s="104">
        <f t="shared" si="1"/>
        <v>70.37296258325408</v>
      </c>
      <c r="K10" s="106">
        <v>339269.05</v>
      </c>
      <c r="L10" s="106">
        <f t="shared" si="2"/>
        <v>154268.5</v>
      </c>
      <c r="M10" s="207">
        <f t="shared" si="3"/>
        <v>1.4547084386271014</v>
      </c>
      <c r="N10" s="105">
        <f>E10-серпень!E10</f>
        <v>60404</v>
      </c>
      <c r="O10" s="144">
        <f>F10-серпень!F10</f>
        <v>49760.01999999996</v>
      </c>
      <c r="P10" s="106">
        <f aca="true" t="shared" si="7" ref="P10:P40">O10-N10</f>
        <v>-10643.98000000004</v>
      </c>
      <c r="Q10" s="104">
        <f t="shared" si="4"/>
        <v>82.37868353089193</v>
      </c>
      <c r="R10" s="37"/>
      <c r="S10" s="100" t="e">
        <f>#N/A</f>
        <v>#N/A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29615.9</v>
      </c>
      <c r="G11" s="103">
        <f t="shared" si="5"/>
        <v>-4584.0999999999985</v>
      </c>
      <c r="H11" s="105">
        <f t="shared" si="6"/>
        <v>86.59619883040936</v>
      </c>
      <c r="I11" s="104">
        <f t="shared" si="0"/>
        <v>-16890.1</v>
      </c>
      <c r="J11" s="104">
        <f t="shared" si="1"/>
        <v>63.68189050875156</v>
      </c>
      <c r="K11" s="106">
        <v>28497.47</v>
      </c>
      <c r="L11" s="106">
        <f t="shared" si="2"/>
        <v>1118.4300000000003</v>
      </c>
      <c r="M11" s="207">
        <f t="shared" si="3"/>
        <v>1.039246641894877</v>
      </c>
      <c r="N11" s="105">
        <f>E11-серпень!E11</f>
        <v>4020</v>
      </c>
      <c r="O11" s="144">
        <f>F11-серпень!F11</f>
        <v>3446.3600000000006</v>
      </c>
      <c r="P11" s="106">
        <f t="shared" si="7"/>
        <v>-573.6399999999994</v>
      </c>
      <c r="Q11" s="104">
        <f t="shared" si="4"/>
        <v>85.73034825870648</v>
      </c>
      <c r="R11" s="37"/>
      <c r="S11" s="100" t="e">
        <f>#N/A</f>
        <v>#N/A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7460.85</v>
      </c>
      <c r="G12" s="103">
        <f t="shared" si="5"/>
        <v>1280.8500000000004</v>
      </c>
      <c r="H12" s="105">
        <f t="shared" si="6"/>
        <v>120.72572815533982</v>
      </c>
      <c r="I12" s="104">
        <f t="shared" si="0"/>
        <v>-819.1499999999996</v>
      </c>
      <c r="J12" s="104">
        <f t="shared" si="1"/>
        <v>90.10688405797102</v>
      </c>
      <c r="K12" s="106">
        <v>7409.72</v>
      </c>
      <c r="L12" s="106">
        <f t="shared" si="2"/>
        <v>51.13000000000011</v>
      </c>
      <c r="M12" s="207">
        <f t="shared" si="3"/>
        <v>1.0069003956964635</v>
      </c>
      <c r="N12" s="105">
        <f>E12-серпень!E12</f>
        <v>900</v>
      </c>
      <c r="O12" s="144">
        <f>F12-серпень!F12</f>
        <v>832.5700000000006</v>
      </c>
      <c r="P12" s="106">
        <f t="shared" si="7"/>
        <v>-67.42999999999938</v>
      </c>
      <c r="Q12" s="104">
        <f t="shared" si="4"/>
        <v>92.50777777777785</v>
      </c>
      <c r="R12" s="37"/>
      <c r="S12" s="100" t="e">
        <f>#N/A</f>
        <v>#N/A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7918.05</v>
      </c>
      <c r="G13" s="103">
        <f t="shared" si="5"/>
        <v>328.0500000000002</v>
      </c>
      <c r="H13" s="105">
        <f t="shared" si="6"/>
        <v>104.32213438735178</v>
      </c>
      <c r="I13" s="104">
        <f t="shared" si="0"/>
        <v>-1471.9499999999998</v>
      </c>
      <c r="J13" s="104">
        <f t="shared" si="1"/>
        <v>84.32428115015973</v>
      </c>
      <c r="K13" s="106">
        <v>7511.25</v>
      </c>
      <c r="L13" s="106">
        <f t="shared" si="2"/>
        <v>406.8000000000002</v>
      </c>
      <c r="M13" s="207">
        <f t="shared" si="3"/>
        <v>1.0541587618572141</v>
      </c>
      <c r="N13" s="105">
        <f>E13-серпень!E13</f>
        <v>480</v>
      </c>
      <c r="O13" s="144">
        <f>F13-серпень!F13</f>
        <v>642.5900000000001</v>
      </c>
      <c r="P13" s="106">
        <f t="shared" si="7"/>
        <v>162.59000000000015</v>
      </c>
      <c r="Q13" s="104">
        <f t="shared" si="4"/>
        <v>133.8729166666667</v>
      </c>
      <c r="R13" s="37"/>
      <c r="S13" s="100" t="e">
        <f>#N/A</f>
        <v>#N/A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5"/>
        <v>172.45000000000005</v>
      </c>
      <c r="H14" s="105">
        <f t="shared" si="6"/>
        <v>119.95949074074075</v>
      </c>
      <c r="I14" s="104">
        <f t="shared" si="0"/>
        <v>-115.54999999999995</v>
      </c>
      <c r="J14" s="104">
        <f t="shared" si="1"/>
        <v>89.96961805555556</v>
      </c>
      <c r="K14" s="106">
        <v>2638.91</v>
      </c>
      <c r="L14" s="106">
        <f t="shared" si="2"/>
        <v>-1602.4599999999998</v>
      </c>
      <c r="M14" s="207">
        <f t="shared" si="3"/>
        <v>0.3927568579451365</v>
      </c>
      <c r="N14" s="105">
        <f>E14-серпень!E14</f>
        <v>96</v>
      </c>
      <c r="O14" s="144">
        <f>F14-серпень!F14</f>
        <v>106.98000000000002</v>
      </c>
      <c r="P14" s="106">
        <f t="shared" si="7"/>
        <v>10.980000000000018</v>
      </c>
      <c r="Q14" s="104">
        <f t="shared" si="4"/>
        <v>111.43750000000001</v>
      </c>
      <c r="R14" s="37"/>
      <c r="S14" s="100" t="e">
        <f>#N/A</f>
        <v>#N/A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5"/>
        <v>-74.19</v>
      </c>
      <c r="H15" s="157">
        <f t="shared" si="6"/>
        <v>83.54988913525499</v>
      </c>
      <c r="I15" s="158">
        <f t="shared" si="0"/>
        <v>-174.19</v>
      </c>
      <c r="J15" s="158">
        <f t="shared" si="1"/>
        <v>68.38656987295826</v>
      </c>
      <c r="K15" s="161">
        <v>386.82</v>
      </c>
      <c r="L15" s="161">
        <f t="shared" si="2"/>
        <v>-10.009999999999991</v>
      </c>
      <c r="M15" s="208">
        <f t="shared" si="3"/>
        <v>0.9741223307998552</v>
      </c>
      <c r="N15" s="157">
        <f>E15-серпень!E15</f>
        <v>0</v>
      </c>
      <c r="O15" s="160">
        <f>F15-серпень!F15</f>
        <v>51</v>
      </c>
      <c r="P15" s="161">
        <f t="shared" si="7"/>
        <v>51</v>
      </c>
      <c r="Q15" s="158" t="e">
        <f t="shared" si="4"/>
        <v>#DIV/0!</v>
      </c>
      <c r="R15" s="37">
        <v>0</v>
      </c>
      <c r="S15" s="100" t="e">
        <f>#N/A</f>
        <v>#N/A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40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E16-серпень!E16</f>
        <v>0</v>
      </c>
      <c r="O16" s="160">
        <f>F16-серпень!F16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 t="e">
        <f>#N/A</f>
        <v>#N/A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E17-серпень!E17</f>
        <v>0</v>
      </c>
      <c r="O17" s="160">
        <f>F17-серпень!F17</f>
        <v>0</v>
      </c>
      <c r="P17" s="161">
        <f t="shared" si="7"/>
        <v>0</v>
      </c>
      <c r="Q17" s="158"/>
      <c r="R17" s="104"/>
      <c r="S17" s="100" t="e">
        <f>#N/A</f>
        <v>#N/A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E18-серпень!E18</f>
        <v>0</v>
      </c>
      <c r="O18" s="160">
        <f>F18-серпень!F18</f>
        <v>0</v>
      </c>
      <c r="P18" s="161">
        <f t="shared" si="7"/>
        <v>0</v>
      </c>
      <c r="Q18" s="158" t="e">
        <f aca="true" t="shared" si="10" ref="Q18:Q24">O18/N18*100</f>
        <v>#DIV/0!</v>
      </c>
      <c r="R18" s="37">
        <v>0</v>
      </c>
      <c r="S18" s="100" t="e">
        <f>#N/A</f>
        <v>#N/A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94800</v>
      </c>
      <c r="F19" s="223">
        <v>69809.27</v>
      </c>
      <c r="G19" s="150">
        <f t="shared" si="5"/>
        <v>-24990.729999999996</v>
      </c>
      <c r="H19" s="157">
        <f aca="true" t="shared" si="11" ref="H19:H39">F19/E19*100</f>
        <v>73.63847046413503</v>
      </c>
      <c r="I19" s="158">
        <f t="shared" si="8"/>
        <v>-60190.729999999996</v>
      </c>
      <c r="J19" s="158">
        <f t="shared" si="9"/>
        <v>53.69943846153846</v>
      </c>
      <c r="K19" s="161">
        <v>74352.8</v>
      </c>
      <c r="L19" s="161">
        <f t="shared" si="2"/>
        <v>-4543.529999999999</v>
      </c>
      <c r="M19" s="208">
        <f t="shared" si="3"/>
        <v>0.9388922811245844</v>
      </c>
      <c r="N19" s="157">
        <f>E19-серпень!E19</f>
        <v>11800</v>
      </c>
      <c r="O19" s="160">
        <f>F19-серпень!F19</f>
        <v>5090.740000000005</v>
      </c>
      <c r="P19" s="161">
        <f t="shared" si="7"/>
        <v>-6709.259999999995</v>
      </c>
      <c r="Q19" s="158">
        <f t="shared" si="10"/>
        <v>43.1418644067797</v>
      </c>
      <c r="R19" s="294">
        <v>8800</v>
      </c>
      <c r="S19" s="100" t="e">
        <f>#N/A</f>
        <v>#N/A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46756.9</v>
      </c>
      <c r="G20" s="253">
        <f t="shared" si="5"/>
        <v>-9493.099999999999</v>
      </c>
      <c r="H20" s="195">
        <f t="shared" si="11"/>
        <v>83.12337777777779</v>
      </c>
      <c r="I20" s="254">
        <f t="shared" si="8"/>
        <v>-29743.1</v>
      </c>
      <c r="J20" s="254">
        <f t="shared" si="9"/>
        <v>61.12013071895424</v>
      </c>
      <c r="K20" s="166">
        <v>74352.8</v>
      </c>
      <c r="L20" s="166">
        <f t="shared" si="2"/>
        <v>-27595.9</v>
      </c>
      <c r="M20" s="256">
        <f t="shared" si="3"/>
        <v>0.6288519060479228</v>
      </c>
      <c r="N20" s="195">
        <f>E20-серпень!E20</f>
        <v>6850</v>
      </c>
      <c r="O20" s="179">
        <f>F20-серпень!F20</f>
        <v>5090.75</v>
      </c>
      <c r="P20" s="166">
        <f t="shared" si="7"/>
        <v>-1759.25</v>
      </c>
      <c r="Q20" s="254">
        <f t="shared" si="10"/>
        <v>74.31751824817519</v>
      </c>
      <c r="R20" s="104">
        <v>4450</v>
      </c>
      <c r="S20" s="104" t="e">
        <f>#N/A</f>
        <v>#N/A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5"/>
        <v>-2807.6800000000003</v>
      </c>
      <c r="H21" s="195">
        <f t="shared" si="11"/>
        <v>63.771870967741926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E21-серпень!E21</f>
        <v>950</v>
      </c>
      <c r="O21" s="179">
        <f>F21-серпень!F21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 t="e">
        <f>#N/A</f>
        <v>#N/A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5"/>
        <v>-12689.95</v>
      </c>
      <c r="H22" s="195">
        <f t="shared" si="11"/>
        <v>58.79886363636363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E22-серпень!E22</f>
        <v>4000</v>
      </c>
      <c r="O22" s="179">
        <f>F22-серпень!F22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 t="e">
        <f>#N/A</f>
        <v>#N/A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311479.35</v>
      </c>
      <c r="G23" s="150">
        <f t="shared" si="5"/>
        <v>7328.75</v>
      </c>
      <c r="H23" s="157">
        <f t="shared" si="11"/>
        <v>102.40957933339602</v>
      </c>
      <c r="I23" s="158">
        <f t="shared" si="8"/>
        <v>-89650.75</v>
      </c>
      <c r="J23" s="158">
        <f t="shared" si="9"/>
        <v>77.65045555045607</v>
      </c>
      <c r="K23" s="158">
        <v>247866.66</v>
      </c>
      <c r="L23" s="161">
        <f t="shared" si="2"/>
        <v>63612.68999999997</v>
      </c>
      <c r="M23" s="209">
        <f aca="true" t="shared" si="12" ref="M23:M31">F23/K23</f>
        <v>1.2566407680645715</v>
      </c>
      <c r="N23" s="157">
        <f>E23-серпень!E23</f>
        <v>23120.399999999965</v>
      </c>
      <c r="O23" s="160">
        <f>F23-серпень!F23</f>
        <v>23378.439999999944</v>
      </c>
      <c r="P23" s="161">
        <f t="shared" si="7"/>
        <v>258.03999999997905</v>
      </c>
      <c r="Q23" s="158">
        <f t="shared" si="10"/>
        <v>101.11607065621693</v>
      </c>
      <c r="R23" s="288">
        <f>R24+R33+R35</f>
        <v>22714</v>
      </c>
      <c r="S23" s="294" t="e">
        <f>#N/A</f>
        <v>#N/A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152751</v>
      </c>
      <c r="G24" s="150">
        <f t="shared" si="5"/>
        <v>-1407.8999999999942</v>
      </c>
      <c r="H24" s="157">
        <f t="shared" si="11"/>
        <v>99.08672155808065</v>
      </c>
      <c r="I24" s="158">
        <f t="shared" si="8"/>
        <v>-53870</v>
      </c>
      <c r="J24" s="158">
        <f t="shared" si="9"/>
        <v>73.9281099210632</v>
      </c>
      <c r="K24" s="158">
        <v>135815.8</v>
      </c>
      <c r="L24" s="161">
        <f t="shared" si="2"/>
        <v>16935.20000000001</v>
      </c>
      <c r="M24" s="209">
        <f t="shared" si="12"/>
        <v>1.1246924142846415</v>
      </c>
      <c r="N24" s="157">
        <f>E24-серпень!E24</f>
        <v>16613</v>
      </c>
      <c r="O24" s="160">
        <f>F24-серпень!F24</f>
        <v>15595.339999999997</v>
      </c>
      <c r="P24" s="161">
        <f t="shared" si="7"/>
        <v>-1017.6600000000035</v>
      </c>
      <c r="Q24" s="158">
        <f t="shared" si="10"/>
        <v>93.87431529525068</v>
      </c>
      <c r="R24" s="293">
        <f>R25+R28+R29</f>
        <v>15007</v>
      </c>
      <c r="S24" s="293" t="e">
        <f>#N/A</f>
        <v>#N/A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17950.02</v>
      </c>
      <c r="G25" s="253">
        <f t="shared" si="5"/>
        <v>690.9200000000019</v>
      </c>
      <c r="H25" s="195">
        <f t="shared" si="11"/>
        <v>104.00322148895367</v>
      </c>
      <c r="I25" s="254">
        <f t="shared" si="8"/>
        <v>-4858.98</v>
      </c>
      <c r="J25" s="254">
        <f t="shared" si="9"/>
        <v>78.69709325266342</v>
      </c>
      <c r="K25" s="304">
        <v>15758.82</v>
      </c>
      <c r="L25" s="166">
        <f t="shared" si="2"/>
        <v>2191.2000000000007</v>
      </c>
      <c r="M25" s="215">
        <f t="shared" si="12"/>
        <v>1.1390459437952842</v>
      </c>
      <c r="N25" s="195">
        <f>E25-серпень!E25</f>
        <v>904.9999999999982</v>
      </c>
      <c r="O25" s="179">
        <f>F25-серпень!F25</f>
        <v>1049.869999999999</v>
      </c>
      <c r="P25" s="166">
        <f t="shared" si="7"/>
        <v>144.8700000000008</v>
      </c>
      <c r="Q25" s="254">
        <f aca="true" t="shared" si="13" ref="Q25:Q35">O25/N25*100</f>
        <v>116.00773480662995</v>
      </c>
      <c r="R25" s="104">
        <v>800</v>
      </c>
      <c r="S25" s="104" t="e">
        <f>#N/A</f>
        <v>#N/A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1370</v>
      </c>
      <c r="F26" s="199">
        <v>1039.65</v>
      </c>
      <c r="G26" s="223">
        <f t="shared" si="5"/>
        <v>-330.3499999999999</v>
      </c>
      <c r="H26" s="237">
        <f t="shared" si="11"/>
        <v>75.88686131386862</v>
      </c>
      <c r="I26" s="299">
        <f t="shared" si="8"/>
        <v>-782.6499999999999</v>
      </c>
      <c r="J26" s="299">
        <f t="shared" si="9"/>
        <v>57.051528288426724</v>
      </c>
      <c r="K26" s="200">
        <v>668.85</v>
      </c>
      <c r="L26" s="200">
        <f>K26-F26</f>
        <v>-370.80000000000007</v>
      </c>
      <c r="M26" s="228">
        <f t="shared" si="12"/>
        <v>1.554384391119085</v>
      </c>
      <c r="N26" s="237">
        <f>E26-серпень!E26</f>
        <v>105</v>
      </c>
      <c r="O26" s="237">
        <f>F26-серпень!F26</f>
        <v>216.70000000000005</v>
      </c>
      <c r="P26" s="299">
        <f t="shared" si="7"/>
        <v>111.70000000000005</v>
      </c>
      <c r="Q26" s="299">
        <f t="shared" si="13"/>
        <v>206.3809523809524</v>
      </c>
      <c r="R26" s="104"/>
      <c r="S26" s="104" t="e">
        <f>#N/A</f>
        <v>#N/A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15889.1</v>
      </c>
      <c r="F27" s="199">
        <v>16910.37</v>
      </c>
      <c r="G27" s="223">
        <f t="shared" si="5"/>
        <v>1021.2699999999986</v>
      </c>
      <c r="H27" s="237">
        <f t="shared" si="11"/>
        <v>106.42748802638286</v>
      </c>
      <c r="I27" s="299">
        <f t="shared" si="8"/>
        <v>-4076.3300000000017</v>
      </c>
      <c r="J27" s="299">
        <f t="shared" si="9"/>
        <v>80.57660327731372</v>
      </c>
      <c r="K27" s="200">
        <v>15089.97</v>
      </c>
      <c r="L27" s="200">
        <f>K27-F27</f>
        <v>-1820.3999999999996</v>
      </c>
      <c r="M27" s="228">
        <f t="shared" si="12"/>
        <v>1.120636422736427</v>
      </c>
      <c r="N27" s="237">
        <f>E27-серпень!E27</f>
        <v>800</v>
      </c>
      <c r="O27" s="237">
        <f>F27-серпень!F27</f>
        <v>833.1599999999999</v>
      </c>
      <c r="P27" s="299">
        <f t="shared" si="7"/>
        <v>33.159999999999854</v>
      </c>
      <c r="Q27" s="299">
        <f t="shared" si="13"/>
        <v>104.14499999999998</v>
      </c>
      <c r="R27" s="104"/>
      <c r="S27" s="104" t="e">
        <f>#N/A</f>
        <v>#N/A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17.42</v>
      </c>
      <c r="G28" s="253">
        <f t="shared" si="5"/>
        <v>-449.38</v>
      </c>
      <c r="H28" s="195">
        <f t="shared" si="11"/>
        <v>3.7317909168808914</v>
      </c>
      <c r="I28" s="254">
        <f t="shared" si="8"/>
        <v>-802.58</v>
      </c>
      <c r="J28" s="254">
        <f t="shared" si="9"/>
        <v>2.124390243902439</v>
      </c>
      <c r="K28" s="174">
        <v>777.34</v>
      </c>
      <c r="L28" s="174">
        <f aca="true" t="shared" si="14" ref="L28:L42">F28-K28</f>
        <v>-759.9200000000001</v>
      </c>
      <c r="M28" s="212">
        <f t="shared" si="12"/>
        <v>0.02240975634857334</v>
      </c>
      <c r="N28" s="195">
        <f>E28-серпень!E28</f>
        <v>105</v>
      </c>
      <c r="O28" s="179">
        <f>F28-серпень!F28</f>
        <v>22.92</v>
      </c>
      <c r="P28" s="166">
        <f t="shared" si="7"/>
        <v>-82.08</v>
      </c>
      <c r="Q28" s="254">
        <f t="shared" si="13"/>
        <v>21.82857142857143</v>
      </c>
      <c r="R28" s="104">
        <v>-25</v>
      </c>
      <c r="S28" s="104" t="e">
        <f>#N/A</f>
        <v>#N/A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134783.56</v>
      </c>
      <c r="G29" s="150">
        <f t="shared" si="5"/>
        <v>-1649.4400000000023</v>
      </c>
      <c r="H29" s="195">
        <f t="shared" si="11"/>
        <v>98.79102563162871</v>
      </c>
      <c r="I29" s="254">
        <f t="shared" si="8"/>
        <v>-48208.44</v>
      </c>
      <c r="J29" s="254">
        <f t="shared" si="9"/>
        <v>73.65543848911427</v>
      </c>
      <c r="K29" s="175">
        <v>119279.65</v>
      </c>
      <c r="L29" s="175">
        <f t="shared" si="14"/>
        <v>15503.910000000003</v>
      </c>
      <c r="M29" s="211">
        <f t="shared" si="12"/>
        <v>1.1299795061437554</v>
      </c>
      <c r="N29" s="195">
        <f>E29-серпень!E29</f>
        <v>15603</v>
      </c>
      <c r="O29" s="179">
        <f>F29-серпень!F29</f>
        <v>14522.550000000003</v>
      </c>
      <c r="P29" s="166">
        <f t="shared" si="7"/>
        <v>-1080.449999999997</v>
      </c>
      <c r="Q29" s="254">
        <f t="shared" si="13"/>
        <v>93.07537012113058</v>
      </c>
      <c r="R29" s="104">
        <v>14232</v>
      </c>
      <c r="S29" s="104" t="e">
        <f>#N/A</f>
        <v>#N/A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43133</v>
      </c>
      <c r="F30" s="199">
        <v>44093.65</v>
      </c>
      <c r="G30" s="223">
        <f t="shared" si="5"/>
        <v>960.6500000000015</v>
      </c>
      <c r="H30" s="237">
        <f t="shared" si="11"/>
        <v>102.22718104467576</v>
      </c>
      <c r="I30" s="299">
        <f t="shared" si="8"/>
        <v>-13439.349999999999</v>
      </c>
      <c r="J30" s="299">
        <f t="shared" si="9"/>
        <v>76.64062364208367</v>
      </c>
      <c r="K30" s="200">
        <v>37996.12</v>
      </c>
      <c r="L30" s="200">
        <f t="shared" si="14"/>
        <v>6097.529999999999</v>
      </c>
      <c r="M30" s="228">
        <f t="shared" si="12"/>
        <v>1.1604777014074068</v>
      </c>
      <c r="N30" s="237">
        <f>E30-серпень!E30</f>
        <v>4918</v>
      </c>
      <c r="O30" s="237">
        <f>F30-серпень!F30</f>
        <v>3379.8800000000047</v>
      </c>
      <c r="P30" s="299">
        <f t="shared" si="7"/>
        <v>-1538.1199999999953</v>
      </c>
      <c r="Q30" s="299">
        <f t="shared" si="13"/>
        <v>68.72468483123231</v>
      </c>
      <c r="R30" s="107"/>
      <c r="S30" s="100" t="e">
        <f>#N/A</f>
        <v>#N/A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93300</v>
      </c>
      <c r="F31" s="199">
        <v>90689.91</v>
      </c>
      <c r="G31" s="223">
        <f t="shared" si="5"/>
        <v>-2610.0899999999965</v>
      </c>
      <c r="H31" s="237">
        <f t="shared" si="11"/>
        <v>97.20247588424438</v>
      </c>
      <c r="I31" s="299">
        <f t="shared" si="8"/>
        <v>-34769.09</v>
      </c>
      <c r="J31" s="299">
        <f t="shared" si="9"/>
        <v>72.28649200137097</v>
      </c>
      <c r="K31" s="200">
        <v>81283.52</v>
      </c>
      <c r="L31" s="200">
        <f t="shared" si="14"/>
        <v>9406.39</v>
      </c>
      <c r="M31" s="228">
        <f t="shared" si="12"/>
        <v>1.1157232117900406</v>
      </c>
      <c r="N31" s="237">
        <f>E31-серпень!E31</f>
        <v>10685</v>
      </c>
      <c r="O31" s="237">
        <f>F31-серпень!F31</f>
        <v>11142.669999999998</v>
      </c>
      <c r="P31" s="299">
        <f t="shared" si="7"/>
        <v>457.66999999999825</v>
      </c>
      <c r="Q31" s="299">
        <f t="shared" si="13"/>
        <v>104.28329433785679</v>
      </c>
      <c r="R31" s="107"/>
      <c r="S31" s="100" t="e">
        <f>#N/A</f>
        <v>#N/A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E32-серпень!E32</f>
        <v>0</v>
      </c>
      <c r="O32" s="160">
        <f>F32-серпень!F32</f>
        <v>0</v>
      </c>
      <c r="P32" s="161">
        <f t="shared" si="7"/>
        <v>0</v>
      </c>
      <c r="Q32" s="158"/>
      <c r="R32" s="293"/>
      <c r="S32" s="293" t="e">
        <f>#N/A</f>
        <v>#N/A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5"/>
        <v>37.06</v>
      </c>
      <c r="H33" s="157">
        <f t="shared" si="11"/>
        <v>146.9113924050633</v>
      </c>
      <c r="I33" s="158">
        <f t="shared" si="8"/>
        <v>1.0600000000000023</v>
      </c>
      <c r="J33" s="158">
        <f t="shared" si="9"/>
        <v>100.92173913043479</v>
      </c>
      <c r="K33" s="158">
        <v>87.95</v>
      </c>
      <c r="L33" s="158">
        <f t="shared" si="14"/>
        <v>28.11</v>
      </c>
      <c r="M33" s="210">
        <f aca="true" t="shared" si="15" ref="M33:M39">F33/K33</f>
        <v>1.319613416714042</v>
      </c>
      <c r="N33" s="157">
        <f>E33-серпень!E33</f>
        <v>7.400000000000006</v>
      </c>
      <c r="O33" s="160">
        <f>F33-серпень!F33</f>
        <v>2</v>
      </c>
      <c r="P33" s="161">
        <f t="shared" si="7"/>
        <v>-5.400000000000006</v>
      </c>
      <c r="Q33" s="158">
        <f t="shared" si="13"/>
        <v>27.027027027027007</v>
      </c>
      <c r="R33" s="293">
        <v>7</v>
      </c>
      <c r="S33" s="293" t="e">
        <f>#N/A</f>
        <v>#N/A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5"/>
        <v>-43.12</v>
      </c>
      <c r="H34" s="157"/>
      <c r="I34" s="158">
        <f t="shared" si="8"/>
        <v>-43.12</v>
      </c>
      <c r="J34" s="158"/>
      <c r="K34" s="158">
        <v>-160.1</v>
      </c>
      <c r="L34" s="158">
        <f t="shared" si="14"/>
        <v>116.97999999999999</v>
      </c>
      <c r="M34" s="210">
        <f t="shared" si="15"/>
        <v>0.2693316677076827</v>
      </c>
      <c r="N34" s="157">
        <f>E34-серпень!E34</f>
        <v>0</v>
      </c>
      <c r="O34" s="160">
        <f>F34-серпень!F34</f>
        <v>-4.909999999999997</v>
      </c>
      <c r="P34" s="161">
        <f t="shared" si="7"/>
        <v>-4.909999999999997</v>
      </c>
      <c r="Q34" s="158"/>
      <c r="R34" s="293"/>
      <c r="S34" s="293" t="e">
        <f>#N/A</f>
        <v>#N/A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158655.21</v>
      </c>
      <c r="G35" s="150">
        <f t="shared" si="5"/>
        <v>8742.50999999998</v>
      </c>
      <c r="H35" s="157">
        <f t="shared" si="11"/>
        <v>105.83173406922828</v>
      </c>
      <c r="I35" s="158">
        <f t="shared" si="8"/>
        <v>-35738.890000000014</v>
      </c>
      <c r="J35" s="158">
        <f t="shared" si="9"/>
        <v>81.61523935140006</v>
      </c>
      <c r="K35" s="178">
        <v>112122.86</v>
      </c>
      <c r="L35" s="178">
        <f t="shared" si="14"/>
        <v>46532.34999999999</v>
      </c>
      <c r="M35" s="226">
        <f t="shared" si="15"/>
        <v>1.4150121571997003</v>
      </c>
      <c r="N35" s="157">
        <f>E35-серпень!E35</f>
        <v>6500</v>
      </c>
      <c r="O35" s="160">
        <f>F35-серпень!F35</f>
        <v>7786.00999999998</v>
      </c>
      <c r="P35" s="161">
        <f t="shared" si="7"/>
        <v>1286.0099999999802</v>
      </c>
      <c r="Q35" s="158">
        <f t="shared" si="13"/>
        <v>119.78476923076893</v>
      </c>
      <c r="R35" s="293">
        <v>7700</v>
      </c>
      <c r="S35" s="293" t="e">
        <f>#N/A</f>
        <v>#N/A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E36-серпень!E36</f>
        <v>0</v>
      </c>
      <c r="O36" s="144">
        <f>F36-серпень!F36</f>
        <v>0</v>
      </c>
      <c r="P36" s="106">
        <f t="shared" si="7"/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30968.47</v>
      </c>
      <c r="G37" s="103">
        <f>F37-E37</f>
        <v>448.47000000000116</v>
      </c>
      <c r="H37" s="105">
        <f t="shared" si="11"/>
        <v>101.46942988204457</v>
      </c>
      <c r="I37" s="104">
        <f t="shared" si="8"/>
        <v>-10031.529999999999</v>
      </c>
      <c r="J37" s="104">
        <f t="shared" si="9"/>
        <v>75.5328536585366</v>
      </c>
      <c r="K37" s="127">
        <v>28340.41</v>
      </c>
      <c r="L37" s="127">
        <f t="shared" si="14"/>
        <v>2628.0600000000013</v>
      </c>
      <c r="M37" s="216">
        <f t="shared" si="15"/>
        <v>1.0927318976683824</v>
      </c>
      <c r="N37" s="105">
        <f>E37-серпень!E37</f>
        <v>1000</v>
      </c>
      <c r="O37" s="144">
        <f>F37-серпень!F37</f>
        <v>805.0500000000029</v>
      </c>
      <c r="P37" s="106">
        <f t="shared" si="7"/>
        <v>-194.9499999999971</v>
      </c>
      <c r="Q37" s="104">
        <f>O37/N37*100</f>
        <v>80.5050000000003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127654.64</v>
      </c>
      <c r="G38" s="103">
        <f>F38-E38</f>
        <v>8294.64</v>
      </c>
      <c r="H38" s="105">
        <f t="shared" si="11"/>
        <v>106.94926273458445</v>
      </c>
      <c r="I38" s="104">
        <f t="shared" si="8"/>
        <v>-25684.460000000006</v>
      </c>
      <c r="J38" s="104">
        <f t="shared" si="9"/>
        <v>83.24989516698611</v>
      </c>
      <c r="K38" s="127">
        <v>83755.8</v>
      </c>
      <c r="L38" s="127">
        <f t="shared" si="14"/>
        <v>43898.84</v>
      </c>
      <c r="M38" s="216">
        <f t="shared" si="15"/>
        <v>1.5241289558454458</v>
      </c>
      <c r="N38" s="105">
        <f>E38-серпень!E38</f>
        <v>5500</v>
      </c>
      <c r="O38" s="144">
        <f>F38-серпень!F38</f>
        <v>6978.949999999997</v>
      </c>
      <c r="P38" s="106">
        <f t="shared" si="7"/>
        <v>1478.949999999997</v>
      </c>
      <c r="Q38" s="104">
        <f>O38/N38*100</f>
        <v>126.88999999999994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32.09</v>
      </c>
      <c r="G39" s="103">
        <f>F39-E39</f>
        <v>-0.6099999999999994</v>
      </c>
      <c r="H39" s="105">
        <f t="shared" si="11"/>
        <v>98.13455657492355</v>
      </c>
      <c r="I39" s="104">
        <f t="shared" si="8"/>
        <v>-22.909999999999997</v>
      </c>
      <c r="J39" s="104">
        <f t="shared" si="9"/>
        <v>58.34545454545456</v>
      </c>
      <c r="K39" s="127">
        <v>26.42</v>
      </c>
      <c r="L39" s="127">
        <f t="shared" si="14"/>
        <v>5.670000000000002</v>
      </c>
      <c r="M39" s="216">
        <f t="shared" si="15"/>
        <v>1.2146101438304315</v>
      </c>
      <c r="N39" s="105">
        <f>E39-серпень!E39</f>
        <v>0</v>
      </c>
      <c r="O39" s="144">
        <f>F39-серпень!F39</f>
        <v>2.020000000000003</v>
      </c>
      <c r="P39" s="106">
        <f t="shared" si="7"/>
        <v>2.020000000000003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8"/>
        <v>0</v>
      </c>
      <c r="J40" s="37"/>
      <c r="K40" s="119">
        <v>0</v>
      </c>
      <c r="L40" s="119">
        <f t="shared" si="14"/>
        <v>0</v>
      </c>
      <c r="M40" s="217"/>
      <c r="N40" s="137">
        <f>E40-серпень!E40</f>
        <v>0</v>
      </c>
      <c r="O40" s="145">
        <f>F40-серпень!F40</f>
        <v>0</v>
      </c>
      <c r="P40" s="161">
        <f t="shared" si="7"/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51386.159999999996</v>
      </c>
      <c r="G41" s="151">
        <f>G42+G43+G44+G45+G46+G48+G50+G51+G52+G53+G54+G59+G60+G64+G47+G49</f>
        <v>5837.859999999997</v>
      </c>
      <c r="H41" s="151">
        <f>H42+H43+H44+H45+H46+H48+H50+H51+H52+H53+H54+H59+H60+H64+H47+H49</f>
        <v>5837.859999999997</v>
      </c>
      <c r="I41" s="153">
        <f>F41-D41</f>
        <v>-7638.840000000004</v>
      </c>
      <c r="J41" s="153">
        <f>F41/D41*100</f>
        <v>87.05829733163914</v>
      </c>
      <c r="K41" s="287">
        <v>49446.88</v>
      </c>
      <c r="L41" s="151">
        <f t="shared" si="14"/>
        <v>1939.2799999999988</v>
      </c>
      <c r="M41" s="205">
        <f>F41/K41</f>
        <v>1.0392194613694534</v>
      </c>
      <c r="N41" s="151">
        <f>N42+N43+N44+N45+N46+N48+N50+N51+N52+N53+N54+N59+N60+N64+N47+N49</f>
        <v>4970.8</v>
      </c>
      <c r="O41" s="151">
        <f>O42+O43+O44+O45+O46+O48+O50+O51+O52+O53+O54+O59+O60+O64+O47+O49</f>
        <v>3971.259999999998</v>
      </c>
      <c r="P41" s="151">
        <f>P42+P43+P44+P45+P46+P48+P50+P51+P52+P53+P54+P59+P60+P64</f>
        <v>-999.5400000000022</v>
      </c>
      <c r="Q41" s="151">
        <f>O41/N41*100</f>
        <v>79.8917679246801</v>
      </c>
      <c r="R41" s="15">
        <f>R42+R43+R44+R45+R46+R47+R48+R50+R51+R52+R53+R54+R59+R60+R64</f>
        <v>5598.5</v>
      </c>
      <c r="S41" s="15">
        <f>O41-R41</f>
        <v>-1627.240000000002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16" ref="G42:G66">F42-E42</f>
        <v>1165.23</v>
      </c>
      <c r="H42" s="164">
        <f>F42-E42</f>
        <v>1165.23</v>
      </c>
      <c r="I42" s="165">
        <f>F42-D42</f>
        <v>1065.23</v>
      </c>
      <c r="J42" s="165">
        <f>F42/D42*100</f>
        <v>283.6603448275862</v>
      </c>
      <c r="K42" s="165">
        <v>420.88</v>
      </c>
      <c r="L42" s="165">
        <f t="shared" si="14"/>
        <v>1224.35</v>
      </c>
      <c r="M42" s="218">
        <f>F42/K42</f>
        <v>3.909023949819426</v>
      </c>
      <c r="N42" s="157">
        <f>E42-серпень!E42</f>
        <v>0</v>
      </c>
      <c r="O42" s="160">
        <f>F42-серпень!F42</f>
        <v>-1912.67</v>
      </c>
      <c r="P42" s="161">
        <f aca="true" t="shared" si="17" ref="P42:P66">O42-N42</f>
        <v>-1912.67</v>
      </c>
      <c r="Q42" s="165" t="e">
        <f>O42/N42</f>
        <v>#DIV/0!</v>
      </c>
      <c r="R42" s="37">
        <v>0</v>
      </c>
      <c r="S42" s="37">
        <f>O42-R42</f>
        <v>-1912.67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16"/>
        <v>-1604.9900000000016</v>
      </c>
      <c r="H43" s="164">
        <f aca="true" t="shared" si="18" ref="H43:H66">F43-E43</f>
        <v>-1604.9900000000016</v>
      </c>
      <c r="I43" s="165">
        <f aca="true" t="shared" si="19" ref="I43:I66">F43-D43</f>
        <v>-9504.990000000002</v>
      </c>
      <c r="J43" s="165">
        <f>F43/D43*100</f>
        <v>68.3167</v>
      </c>
      <c r="K43" s="165">
        <v>24166.13</v>
      </c>
      <c r="L43" s="165">
        <f aca="true" t="shared" si="20" ref="L43:L66">F43-K43</f>
        <v>-3671.1200000000026</v>
      </c>
      <c r="M43" s="218">
        <f aca="true" t="shared" si="21" ref="M43:M66">F43/K43</f>
        <v>0.8480882127175513</v>
      </c>
      <c r="N43" s="157">
        <f>E43-серпень!E43</f>
        <v>2800</v>
      </c>
      <c r="O43" s="160">
        <f>F43-серпень!F43</f>
        <v>2426.869999999999</v>
      </c>
      <c r="P43" s="161">
        <f t="shared" si="17"/>
        <v>-373.130000000001</v>
      </c>
      <c r="Q43" s="165">
        <f aca="true" t="shared" si="22" ref="Q43:Q65">O43/N43</f>
        <v>0.8667392857142854</v>
      </c>
      <c r="R43" s="37">
        <v>2874.5</v>
      </c>
      <c r="S43" s="37" t="e">
        <f>#N/A</f>
        <v>#N/A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16"/>
        <v>103.30000000000001</v>
      </c>
      <c r="H44" s="164">
        <f t="shared" si="18"/>
        <v>103.30000000000001</v>
      </c>
      <c r="I44" s="165">
        <f t="shared" si="19"/>
        <v>88.30000000000001</v>
      </c>
      <c r="J44" s="165">
        <f aca="true" t="shared" si="23" ref="J44:J65">F44/D44*100</f>
        <v>320.75000000000006</v>
      </c>
      <c r="K44" s="165">
        <v>31.98</v>
      </c>
      <c r="L44" s="165">
        <f t="shared" si="20"/>
        <v>96.32000000000001</v>
      </c>
      <c r="M44" s="218">
        <f t="shared" si="21"/>
        <v>4.011882426516573</v>
      </c>
      <c r="N44" s="157">
        <f>E44-серпень!E44</f>
        <v>1</v>
      </c>
      <c r="O44" s="160">
        <f>F44-серпень!F44</f>
        <v>5.000000000000014</v>
      </c>
      <c r="P44" s="161">
        <f t="shared" si="17"/>
        <v>4.000000000000014</v>
      </c>
      <c r="Q44" s="165">
        <f t="shared" si="22"/>
        <v>5.000000000000014</v>
      </c>
      <c r="R44" s="37">
        <v>10</v>
      </c>
      <c r="S44" s="37" t="e">
        <f>#N/A</f>
        <v>#N/A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>
        <f t="shared" si="18"/>
        <v>12.95</v>
      </c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E45-серпень!E45</f>
        <v>0</v>
      </c>
      <c r="O45" s="160">
        <f>F45-серпень!F45</f>
        <v>0</v>
      </c>
      <c r="P45" s="161">
        <f t="shared" si="17"/>
        <v>0</v>
      </c>
      <c r="Q45" s="165"/>
      <c r="R45" s="37">
        <v>0</v>
      </c>
      <c r="S45" s="37" t="e">
        <f>#N/A</f>
        <v>#N/A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</v>
      </c>
      <c r="G46" s="150">
        <f t="shared" si="16"/>
        <v>426.29999999999995</v>
      </c>
      <c r="H46" s="164">
        <f t="shared" si="18"/>
        <v>426.29999999999995</v>
      </c>
      <c r="I46" s="165">
        <f t="shared" si="19"/>
        <v>360.29999999999995</v>
      </c>
      <c r="J46" s="165">
        <f t="shared" si="23"/>
        <v>238.57692307692307</v>
      </c>
      <c r="K46" s="165">
        <v>197.12</v>
      </c>
      <c r="L46" s="165">
        <f t="shared" si="20"/>
        <v>423.17999999999995</v>
      </c>
      <c r="M46" s="218">
        <f t="shared" si="21"/>
        <v>3.146814123376623</v>
      </c>
      <c r="N46" s="157">
        <f>E46-серпень!E46</f>
        <v>22</v>
      </c>
      <c r="O46" s="160">
        <f>F46-серпень!F46</f>
        <v>21.149999999999977</v>
      </c>
      <c r="P46" s="161">
        <f t="shared" si="17"/>
        <v>-0.8500000000000227</v>
      </c>
      <c r="Q46" s="165">
        <f t="shared" si="22"/>
        <v>0.9613636363636353</v>
      </c>
      <c r="R46" s="37">
        <v>70</v>
      </c>
      <c r="S46" s="37" t="e">
        <f>#N/A</f>
        <v>#N/A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16"/>
        <v>3.6300000000000097</v>
      </c>
      <c r="H47" s="164">
        <f t="shared" si="18"/>
        <v>3.6300000000000097</v>
      </c>
      <c r="I47" s="165">
        <f t="shared" si="19"/>
        <v>-19.069999999999993</v>
      </c>
      <c r="J47" s="165">
        <f t="shared" si="23"/>
        <v>80.44102564102565</v>
      </c>
      <c r="K47" s="165">
        <v>41.15</v>
      </c>
      <c r="L47" s="165">
        <f t="shared" si="20"/>
        <v>37.28000000000001</v>
      </c>
      <c r="M47" s="218">
        <f t="shared" si="21"/>
        <v>1.9059538274605106</v>
      </c>
      <c r="N47" s="157">
        <f>E47-серпень!E47</f>
        <v>6.799999999999997</v>
      </c>
      <c r="O47" s="160">
        <f>F47-серпень!F47</f>
        <v>6.800000000000011</v>
      </c>
      <c r="P47" s="161">
        <f t="shared" si="17"/>
        <v>1.4210854715202004E-14</v>
      </c>
      <c r="Q47" s="165">
        <f t="shared" si="22"/>
        <v>1.000000000000002</v>
      </c>
      <c r="R47" s="37">
        <v>0</v>
      </c>
      <c r="S47" s="37" t="e">
        <f>#N/A</f>
        <v>#N/A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640</v>
      </c>
      <c r="F48" s="156">
        <v>904.59</v>
      </c>
      <c r="G48" s="150">
        <f t="shared" si="16"/>
        <v>264.59000000000003</v>
      </c>
      <c r="H48" s="164">
        <f t="shared" si="18"/>
        <v>264.59000000000003</v>
      </c>
      <c r="I48" s="165">
        <f t="shared" si="19"/>
        <v>174.59000000000003</v>
      </c>
      <c r="J48" s="165">
        <f t="shared" si="23"/>
        <v>123.91643835616439</v>
      </c>
      <c r="K48" s="165">
        <v>428.63</v>
      </c>
      <c r="L48" s="165">
        <f t="shared" si="20"/>
        <v>475.96000000000004</v>
      </c>
      <c r="M48" s="218">
        <f t="shared" si="21"/>
        <v>2.1104215757179854</v>
      </c>
      <c r="N48" s="157">
        <f>E48-серпень!E48</f>
        <v>60</v>
      </c>
      <c r="O48" s="160">
        <f>F48-серпень!F48</f>
        <v>91.72000000000003</v>
      </c>
      <c r="P48" s="161">
        <f t="shared" si="17"/>
        <v>31.720000000000027</v>
      </c>
      <c r="Q48" s="165">
        <f t="shared" si="22"/>
        <v>1.528666666666667</v>
      </c>
      <c r="R48" s="37">
        <v>100</v>
      </c>
      <c r="S48" s="37" t="e">
        <f>#N/A</f>
        <v>#N/A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>
        <f t="shared" si="18"/>
        <v>23.38</v>
      </c>
      <c r="I49" s="165">
        <f t="shared" si="19"/>
        <v>23.38</v>
      </c>
      <c r="J49" s="165"/>
      <c r="K49" s="165"/>
      <c r="L49" s="165">
        <f t="shared" si="20"/>
        <v>23.38</v>
      </c>
      <c r="M49" s="218"/>
      <c r="N49" s="157">
        <f>E49-серпень!E49</f>
        <v>0</v>
      </c>
      <c r="O49" s="160">
        <f>F49-серпень!F49</f>
        <v>0</v>
      </c>
      <c r="P49" s="161">
        <f t="shared" si="17"/>
        <v>0</v>
      </c>
      <c r="Q49" s="165"/>
      <c r="R49" s="37"/>
      <c r="S49" s="37" t="e">
        <f>#N/A</f>
        <v>#N/A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8940</v>
      </c>
      <c r="F50" s="156">
        <v>14706.97</v>
      </c>
      <c r="G50" s="150">
        <f t="shared" si="16"/>
        <v>5766.969999999999</v>
      </c>
      <c r="H50" s="164">
        <f t="shared" si="18"/>
        <v>5766.969999999999</v>
      </c>
      <c r="I50" s="165">
        <f t="shared" si="19"/>
        <v>3706.9699999999993</v>
      </c>
      <c r="J50" s="165">
        <f t="shared" si="23"/>
        <v>133.69972727272727</v>
      </c>
      <c r="K50" s="165">
        <v>8067.74</v>
      </c>
      <c r="L50" s="165">
        <f t="shared" si="20"/>
        <v>6639.23</v>
      </c>
      <c r="M50" s="218">
        <f t="shared" si="21"/>
        <v>1.8229355432872154</v>
      </c>
      <c r="N50" s="157">
        <f>E50-серпень!E50</f>
        <v>1000</v>
      </c>
      <c r="O50" s="160">
        <f>F50-серпень!F50</f>
        <v>1793.1499999999996</v>
      </c>
      <c r="P50" s="161">
        <f t="shared" si="17"/>
        <v>793.1499999999996</v>
      </c>
      <c r="Q50" s="165">
        <f t="shared" si="22"/>
        <v>1.7931499999999996</v>
      </c>
      <c r="R50" s="37">
        <v>1400</v>
      </c>
      <c r="S50" s="37" t="e">
        <f>#N/A</f>
        <v>#N/A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235</v>
      </c>
      <c r="F51" s="156">
        <v>435.32</v>
      </c>
      <c r="G51" s="150">
        <f t="shared" si="16"/>
        <v>200.32</v>
      </c>
      <c r="H51" s="164">
        <f t="shared" si="18"/>
        <v>200.32</v>
      </c>
      <c r="I51" s="165">
        <f t="shared" si="19"/>
        <v>125.32</v>
      </c>
      <c r="J51" s="165">
        <f t="shared" si="23"/>
        <v>140.4258064516129</v>
      </c>
      <c r="K51" s="165">
        <v>210.12</v>
      </c>
      <c r="L51" s="165">
        <f t="shared" si="20"/>
        <v>225.2</v>
      </c>
      <c r="M51" s="218">
        <f t="shared" si="21"/>
        <v>2.071768513230535</v>
      </c>
      <c r="N51" s="157">
        <f>E51-серпень!E51</f>
        <v>25</v>
      </c>
      <c r="O51" s="160">
        <f>F51-серпень!F51</f>
        <v>59.079999999999984</v>
      </c>
      <c r="P51" s="161">
        <f t="shared" si="17"/>
        <v>34.079999999999984</v>
      </c>
      <c r="Q51" s="165">
        <f t="shared" si="22"/>
        <v>2.3631999999999995</v>
      </c>
      <c r="R51" s="37">
        <v>40</v>
      </c>
      <c r="S51" s="37" t="e">
        <f>#N/A</f>
        <v>#N/A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16"/>
        <v>12.280000000000001</v>
      </c>
      <c r="H52" s="164">
        <f t="shared" si="18"/>
        <v>12.280000000000001</v>
      </c>
      <c r="I52" s="165">
        <f t="shared" si="19"/>
        <v>9.280000000000001</v>
      </c>
      <c r="J52" s="165">
        <f t="shared" si="23"/>
        <v>146.4</v>
      </c>
      <c r="K52" s="165">
        <v>16.68</v>
      </c>
      <c r="L52" s="165">
        <f t="shared" si="20"/>
        <v>12.600000000000001</v>
      </c>
      <c r="M52" s="218">
        <f t="shared" si="21"/>
        <v>1.7553956834532376</v>
      </c>
      <c r="N52" s="157">
        <f>E52-серпень!E52</f>
        <v>1</v>
      </c>
      <c r="O52" s="160">
        <f>F52-серпень!F52</f>
        <v>-2.3999999999999986</v>
      </c>
      <c r="P52" s="161">
        <f t="shared" si="17"/>
        <v>-3.3999999999999986</v>
      </c>
      <c r="Q52" s="165">
        <f t="shared" si="22"/>
        <v>-2.3999999999999986</v>
      </c>
      <c r="R52" s="37">
        <v>4</v>
      </c>
      <c r="S52" s="37" t="e">
        <f>#N/A</f>
        <v>#N/A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16"/>
        <v>-586.6700000000001</v>
      </c>
      <c r="H53" s="164">
        <f t="shared" si="18"/>
        <v>-586.6700000000001</v>
      </c>
      <c r="I53" s="165">
        <f t="shared" si="19"/>
        <v>-2401.67</v>
      </c>
      <c r="J53" s="165">
        <f t="shared" si="23"/>
        <v>66.98735395189004</v>
      </c>
      <c r="K53" s="165">
        <v>5625.22</v>
      </c>
      <c r="L53" s="165">
        <f t="shared" si="20"/>
        <v>-751.8900000000003</v>
      </c>
      <c r="M53" s="218">
        <f t="shared" si="21"/>
        <v>0.8663358944183516</v>
      </c>
      <c r="N53" s="157">
        <f>E53-серпень!E53</f>
        <v>605</v>
      </c>
      <c r="O53" s="160">
        <f>F53-серпень!F53</f>
        <v>539.9899999999998</v>
      </c>
      <c r="P53" s="161">
        <f t="shared" si="17"/>
        <v>-65.01000000000022</v>
      </c>
      <c r="Q53" s="165">
        <f t="shared" si="22"/>
        <v>0.8925454545454542</v>
      </c>
      <c r="R53" s="37">
        <v>550</v>
      </c>
      <c r="S53" s="37" t="e">
        <f>#N/A</f>
        <v>#N/A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621.45</v>
      </c>
      <c r="G54" s="150">
        <f t="shared" si="16"/>
        <v>-268.54999999999995</v>
      </c>
      <c r="H54" s="164">
        <f t="shared" si="18"/>
        <v>-268.54999999999995</v>
      </c>
      <c r="I54" s="165">
        <f t="shared" si="19"/>
        <v>-578.55</v>
      </c>
      <c r="J54" s="165">
        <f t="shared" si="23"/>
        <v>51.78750000000001</v>
      </c>
      <c r="K54" s="165">
        <v>4925.62</v>
      </c>
      <c r="L54" s="165">
        <f t="shared" si="20"/>
        <v>-4304.17</v>
      </c>
      <c r="M54" s="218">
        <f t="shared" si="21"/>
        <v>0.1261668581823202</v>
      </c>
      <c r="N54" s="157">
        <f>E54-серпень!E54</f>
        <v>100</v>
      </c>
      <c r="O54" s="160">
        <f>F54-серпень!F54</f>
        <v>70.46000000000004</v>
      </c>
      <c r="P54" s="161">
        <f t="shared" si="17"/>
        <v>-29.539999999999964</v>
      </c>
      <c r="Q54" s="165">
        <f t="shared" si="22"/>
        <v>0.7046000000000003</v>
      </c>
      <c r="R54" s="37">
        <v>50</v>
      </c>
      <c r="S54" s="37" t="e">
        <f>#N/A</f>
        <v>#N/A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740</v>
      </c>
      <c r="F55" s="140">
        <v>522.91</v>
      </c>
      <c r="G55" s="103">
        <f t="shared" si="16"/>
        <v>-217.09000000000003</v>
      </c>
      <c r="H55" s="105">
        <f t="shared" si="18"/>
        <v>-217.09000000000003</v>
      </c>
      <c r="I55" s="104">
        <f t="shared" si="19"/>
        <v>-475.09000000000003</v>
      </c>
      <c r="J55" s="104">
        <f t="shared" si="23"/>
        <v>52.39579158316633</v>
      </c>
      <c r="K55" s="104">
        <v>643.11</v>
      </c>
      <c r="L55" s="165">
        <f t="shared" si="20"/>
        <v>-120.20000000000005</v>
      </c>
      <c r="M55" s="218">
        <f t="shared" si="21"/>
        <v>0.8130957378986486</v>
      </c>
      <c r="N55" s="105">
        <f>E55-серпень!E55</f>
        <v>80</v>
      </c>
      <c r="O55" s="144">
        <f>F55-серпень!F55</f>
        <v>55.92999999999995</v>
      </c>
      <c r="P55" s="106">
        <f t="shared" si="17"/>
        <v>-24.07000000000005</v>
      </c>
      <c r="Q55" s="104">
        <f t="shared" si="22"/>
        <v>0.6991249999999993</v>
      </c>
      <c r="R55" s="37"/>
      <c r="S55" s="37" t="e">
        <f>#N/A</f>
        <v>#N/A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05">
        <f t="shared" si="18"/>
        <v>0.15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E56-серпень!E56</f>
        <v>0</v>
      </c>
      <c r="O56" s="144">
        <f>F56-серпень!F56</f>
        <v>0</v>
      </c>
      <c r="P56" s="106">
        <f t="shared" si="17"/>
        <v>0</v>
      </c>
      <c r="Q56" s="104"/>
      <c r="R56" s="37"/>
      <c r="S56" s="37" t="e">
        <f>#N/A</f>
        <v>#N/A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05">
        <f t="shared" si="18"/>
        <v>0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E57-серпень!E57</f>
        <v>0</v>
      </c>
      <c r="O57" s="144">
        <f>F57-серпень!F57</f>
        <v>0</v>
      </c>
      <c r="P57" s="106">
        <f t="shared" si="17"/>
        <v>0</v>
      </c>
      <c r="Q57" s="104"/>
      <c r="R57" s="37"/>
      <c r="S57" s="37" t="e">
        <f>#N/A</f>
        <v>#N/A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150</v>
      </c>
      <c r="F58" s="140">
        <v>98.39</v>
      </c>
      <c r="G58" s="103">
        <f t="shared" si="16"/>
        <v>-51.61</v>
      </c>
      <c r="H58" s="105">
        <f t="shared" si="18"/>
        <v>-51.61</v>
      </c>
      <c r="I58" s="104">
        <f t="shared" si="19"/>
        <v>-101.61</v>
      </c>
      <c r="J58" s="104">
        <f t="shared" si="23"/>
        <v>49.195</v>
      </c>
      <c r="K58" s="104">
        <v>4282.22</v>
      </c>
      <c r="L58" s="165">
        <f t="shared" si="20"/>
        <v>-4183.83</v>
      </c>
      <c r="M58" s="218">
        <f t="shared" si="21"/>
        <v>0.022976400091541303</v>
      </c>
      <c r="N58" s="105">
        <f>E58-серпень!E58</f>
        <v>20</v>
      </c>
      <c r="O58" s="144">
        <f>F58-серпень!F58</f>
        <v>14.530000000000001</v>
      </c>
      <c r="P58" s="106">
        <f t="shared" si="17"/>
        <v>-5.469999999999999</v>
      </c>
      <c r="Q58" s="104">
        <f t="shared" si="22"/>
        <v>0.7265</v>
      </c>
      <c r="R58" s="37"/>
      <c r="S58" s="37" t="e">
        <f>#N/A</f>
        <v>#N/A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-0.45999999999999996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E59-серпень!E59</f>
        <v>0</v>
      </c>
      <c r="O59" s="160">
        <f>F59-серпень!F59</f>
        <v>0</v>
      </c>
      <c r="P59" s="161">
        <f t="shared" si="17"/>
        <v>0</v>
      </c>
      <c r="Q59" s="165"/>
      <c r="R59" s="37">
        <v>0</v>
      </c>
      <c r="S59" s="37" t="e">
        <f>#N/A</f>
        <v>#N/A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6749.44</v>
      </c>
      <c r="G60" s="150">
        <f t="shared" si="16"/>
        <v>349.4399999999996</v>
      </c>
      <c r="H60" s="164">
        <f t="shared" si="18"/>
        <v>349.4399999999996</v>
      </c>
      <c r="I60" s="165">
        <f t="shared" si="19"/>
        <v>-600.5600000000004</v>
      </c>
      <c r="J60" s="165">
        <f t="shared" si="23"/>
        <v>91.8291156462585</v>
      </c>
      <c r="K60" s="165">
        <v>5154.13</v>
      </c>
      <c r="L60" s="165">
        <f t="shared" si="20"/>
        <v>1595.3099999999995</v>
      </c>
      <c r="M60" s="218">
        <f t="shared" si="21"/>
        <v>1.3095207144561738</v>
      </c>
      <c r="N60" s="157">
        <f>E60-серпень!E60</f>
        <v>340</v>
      </c>
      <c r="O60" s="160">
        <f>F60-серпень!F60</f>
        <v>872.1099999999997</v>
      </c>
      <c r="P60" s="161">
        <f t="shared" si="17"/>
        <v>532.1099999999997</v>
      </c>
      <c r="Q60" s="165">
        <f t="shared" si="22"/>
        <v>2.565029411764705</v>
      </c>
      <c r="R60" s="37">
        <v>500</v>
      </c>
      <c r="S60" s="37" t="e">
        <f>#N/A</f>
        <v>#N/A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>
        <f t="shared" si="18"/>
        <v>0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E61-серпень!E61</f>
        <v>0</v>
      </c>
      <c r="O61" s="160">
        <f>F61-серпень!F61</f>
        <v>0</v>
      </c>
      <c r="P61" s="161">
        <f t="shared" si="17"/>
        <v>0</v>
      </c>
      <c r="Q61" s="165" t="e">
        <f t="shared" si="22"/>
        <v>#DIV/0!</v>
      </c>
      <c r="R61" s="37"/>
      <c r="S61" s="37" t="e">
        <f>#N/A</f>
        <v>#N/A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1564.45</v>
      </c>
      <c r="G62" s="150">
        <f t="shared" si="16"/>
        <v>1564.45</v>
      </c>
      <c r="H62" s="164">
        <f t="shared" si="18"/>
        <v>1564.45</v>
      </c>
      <c r="I62" s="165">
        <f t="shared" si="19"/>
        <v>1564.45</v>
      </c>
      <c r="J62" s="165"/>
      <c r="K62" s="166">
        <v>1002.97</v>
      </c>
      <c r="L62" s="165">
        <f t="shared" si="20"/>
        <v>561.48</v>
      </c>
      <c r="M62" s="218">
        <f t="shared" si="21"/>
        <v>1.5598173424927964</v>
      </c>
      <c r="N62" s="157">
        <f>E62-серпень!E62</f>
        <v>0</v>
      </c>
      <c r="O62" s="160">
        <f>F62-серпень!F62</f>
        <v>157.60000000000014</v>
      </c>
      <c r="P62" s="161">
        <f t="shared" si="17"/>
        <v>157.60000000000014</v>
      </c>
      <c r="Q62" s="165"/>
      <c r="R62" s="37"/>
      <c r="S62" s="37" t="e">
        <f>#N/A</f>
        <v>#N/A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>
        <f t="shared" si="18"/>
        <v>0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E63-серпень!E63</f>
        <v>0</v>
      </c>
      <c r="O63" s="160">
        <f>F63-серпень!F63</f>
        <v>0</v>
      </c>
      <c r="P63" s="161">
        <f t="shared" si="17"/>
        <v>0</v>
      </c>
      <c r="Q63" s="165" t="e">
        <f t="shared" si="22"/>
        <v>#DIV/0!</v>
      </c>
      <c r="R63" s="37"/>
      <c r="S63" s="37" t="e">
        <f>#N/A</f>
        <v>#N/A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16"/>
        <v>-29.86</v>
      </c>
      <c r="H64" s="164">
        <f t="shared" si="18"/>
        <v>-29.86</v>
      </c>
      <c r="I64" s="165">
        <f t="shared" si="19"/>
        <v>-99.86</v>
      </c>
      <c r="J64" s="165">
        <f t="shared" si="23"/>
        <v>37.5875</v>
      </c>
      <c r="K64" s="165">
        <v>158.93</v>
      </c>
      <c r="L64" s="165">
        <f t="shared" si="20"/>
        <v>-98.79</v>
      </c>
      <c r="M64" s="218">
        <f t="shared" si="21"/>
        <v>0.37840558736550683</v>
      </c>
      <c r="N64" s="157">
        <f>E64-серпень!E64</f>
        <v>10</v>
      </c>
      <c r="O64" s="160">
        <f>F64-серпень!F64</f>
        <v>0</v>
      </c>
      <c r="P64" s="161">
        <f t="shared" si="17"/>
        <v>-10</v>
      </c>
      <c r="Q64" s="165">
        <f t="shared" si="22"/>
        <v>0</v>
      </c>
      <c r="R64" s="37">
        <v>0</v>
      </c>
      <c r="S64" s="37" t="e">
        <f>#N/A</f>
        <v>#N/A</v>
      </c>
    </row>
    <row r="65" spans="1:19" s="6" customFormat="1" ht="30.75">
      <c r="A65" s="8"/>
      <c r="B65" s="12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16"/>
        <v>22.919999999999998</v>
      </c>
      <c r="H65" s="164">
        <f t="shared" si="18"/>
        <v>22.919999999999998</v>
      </c>
      <c r="I65" s="165">
        <f t="shared" si="19"/>
        <v>19.22</v>
      </c>
      <c r="J65" s="165">
        <f t="shared" si="23"/>
        <v>228.13333333333335</v>
      </c>
      <c r="K65" s="165">
        <v>13.52</v>
      </c>
      <c r="L65" s="165">
        <f t="shared" si="20"/>
        <v>20.7</v>
      </c>
      <c r="M65" s="218">
        <f t="shared" si="21"/>
        <v>2.5310650887573964</v>
      </c>
      <c r="N65" s="157">
        <f>E65-серпень!E65</f>
        <v>1.1999999999999993</v>
      </c>
      <c r="O65" s="160">
        <f>F65-серпень!F65</f>
        <v>3.2699999999999996</v>
      </c>
      <c r="P65" s="161">
        <f t="shared" si="17"/>
        <v>2.0700000000000003</v>
      </c>
      <c r="Q65" s="165">
        <f t="shared" si="22"/>
        <v>2.7250000000000014</v>
      </c>
      <c r="R65" s="37">
        <v>3.2</v>
      </c>
      <c r="S65" s="37" t="e">
        <f>#N/A</f>
        <v>#N/A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>
        <f t="shared" si="18"/>
        <v>-5.17</v>
      </c>
      <c r="I66" s="165">
        <f t="shared" si="19"/>
        <v>-5.17</v>
      </c>
      <c r="J66" s="165"/>
      <c r="K66" s="165">
        <v>1.02</v>
      </c>
      <c r="L66" s="165">
        <f t="shared" si="20"/>
        <v>-6.1899999999999995</v>
      </c>
      <c r="M66" s="218">
        <f t="shared" si="21"/>
        <v>-5.068627450980392</v>
      </c>
      <c r="N66" s="157">
        <f>E66-серпень!E66</f>
        <v>0</v>
      </c>
      <c r="O66" s="160">
        <f>F66-серпень!F66</f>
        <v>0</v>
      </c>
      <c r="P66" s="161">
        <f t="shared" si="17"/>
        <v>0</v>
      </c>
      <c r="Q66" s="165"/>
      <c r="R66" s="37">
        <v>0</v>
      </c>
      <c r="S66" s="37" t="e">
        <f>#N/A</f>
        <v>#N/A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972797.39</v>
      </c>
      <c r="G67" s="151">
        <f>F67-E67</f>
        <v>-19393.810000000056</v>
      </c>
      <c r="H67" s="152">
        <f>F67/E67*100</f>
        <v>98.04535557259527</v>
      </c>
      <c r="I67" s="153">
        <f>F67-D67</f>
        <v>-384693.7100000001</v>
      </c>
      <c r="J67" s="153">
        <f>F67/D67*100</f>
        <v>71.66141936400172</v>
      </c>
      <c r="K67" s="151">
        <v>757500.07</v>
      </c>
      <c r="L67" s="153">
        <f>F67-K67</f>
        <v>215297.32000000007</v>
      </c>
      <c r="M67" s="219">
        <f>F67/K67</f>
        <v>1.2842208582238153</v>
      </c>
      <c r="N67" s="151">
        <f>N8+N41+N65+N66</f>
        <v>105792.39999999997</v>
      </c>
      <c r="O67" s="151">
        <f>O8+O41+O65+O66</f>
        <v>87283.22999999997</v>
      </c>
      <c r="P67" s="194">
        <f>O67-N67</f>
        <v>-18509.17</v>
      </c>
      <c r="Q67" s="153">
        <f>O67/N67*100</f>
        <v>82.50425361368113</v>
      </c>
      <c r="R67" s="27">
        <f>R8+R41+R65+R66</f>
        <v>108115.7</v>
      </c>
      <c r="S67" s="280">
        <f>O67-R67</f>
        <v>-20832.47000000003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E73-серпень!E73</f>
        <v>0</v>
      </c>
      <c r="O73" s="160">
        <f>F73-серпень!F73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-3.8200000000000003</v>
      </c>
      <c r="L74" s="187">
        <f aca="true" t="shared" si="24" ref="L74:L86">F74-K74</f>
        <v>1.19</v>
      </c>
      <c r="M74" s="214">
        <f aca="true" t="shared" si="25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6" ref="G75:G86">F75-E75</f>
        <v>35.57</v>
      </c>
      <c r="H75" s="186"/>
      <c r="I75" s="187">
        <f>F75-D75</f>
        <v>35.57</v>
      </c>
      <c r="J75" s="187"/>
      <c r="K75" s="187">
        <v>0</v>
      </c>
      <c r="L75" s="187">
        <f t="shared" si="24"/>
        <v>35.57</v>
      </c>
      <c r="M75" s="209"/>
      <c r="N75" s="186">
        <f>E75-серпень!E75</f>
        <v>0</v>
      </c>
      <c r="O75" s="289">
        <f>F75-червень!F75</f>
        <v>0</v>
      </c>
      <c r="P75" s="187">
        <f aca="true" t="shared" si="27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26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>
        <v>1553.95</v>
      </c>
      <c r="L76" s="167">
        <f t="shared" si="24"/>
        <v>-1550.14</v>
      </c>
      <c r="M76" s="209">
        <f t="shared" si="25"/>
        <v>0.0024518163390070467</v>
      </c>
      <c r="N76" s="157">
        <f>E76-серпень!E76</f>
        <v>21500</v>
      </c>
      <c r="O76" s="160">
        <f>F76-серпень!F76</f>
        <v>0</v>
      </c>
      <c r="P76" s="167">
        <f t="shared" si="27"/>
        <v>-21500</v>
      </c>
      <c r="Q76" s="167">
        <f>O76/N76*100</f>
        <v>0</v>
      </c>
      <c r="R76" s="38">
        <v>0</v>
      </c>
      <c r="S76" s="38" t="e">
        <f>#N/A</f>
        <v>#N/A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6214.66</v>
      </c>
      <c r="G77" s="162">
        <f t="shared" si="26"/>
        <v>-20215.34</v>
      </c>
      <c r="H77" s="164">
        <f>F77/E77*100</f>
        <v>23.513658721150207</v>
      </c>
      <c r="I77" s="167">
        <f aca="true" t="shared" si="28" ref="I77:I86">F77-D77</f>
        <v>-47785.34</v>
      </c>
      <c r="J77" s="167">
        <f>F77/D77*100</f>
        <v>11.50862962962963</v>
      </c>
      <c r="K77" s="167">
        <v>6903.45</v>
      </c>
      <c r="L77" s="167">
        <f t="shared" si="24"/>
        <v>-688.79</v>
      </c>
      <c r="M77" s="209">
        <f t="shared" si="25"/>
        <v>0.9002252496939935</v>
      </c>
      <c r="N77" s="157">
        <f>E77-серпень!E77</f>
        <v>3600</v>
      </c>
      <c r="O77" s="160">
        <f>F77-серпень!F77</f>
        <v>244.51000000000022</v>
      </c>
      <c r="P77" s="167">
        <f t="shared" si="27"/>
        <v>-3355.49</v>
      </c>
      <c r="Q77" s="167">
        <f>O77/N77*100</f>
        <v>6.79194444444445</v>
      </c>
      <c r="R77" s="38">
        <v>200</v>
      </c>
      <c r="S77" s="38" t="e">
        <f>#N/A</f>
        <v>#N/A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26"/>
        <v>-16176.6</v>
      </c>
      <c r="H78" s="164">
        <f>F78/E78*100</f>
        <v>41.70594594594594</v>
      </c>
      <c r="I78" s="167">
        <f t="shared" si="28"/>
        <v>-67426.6</v>
      </c>
      <c r="J78" s="167">
        <f>F78/D78*100</f>
        <v>14.649873417721517</v>
      </c>
      <c r="K78" s="167">
        <v>12116.42</v>
      </c>
      <c r="L78" s="167">
        <f t="shared" si="24"/>
        <v>-543.0200000000004</v>
      </c>
      <c r="M78" s="209">
        <f t="shared" si="25"/>
        <v>0.9551831316510982</v>
      </c>
      <c r="N78" s="157">
        <f>E78-серпень!E78</f>
        <v>3850</v>
      </c>
      <c r="O78" s="160">
        <f>F78-серпень!F78</f>
        <v>3539.4799999999996</v>
      </c>
      <c r="P78" s="167">
        <f t="shared" si="27"/>
        <v>-310.52000000000044</v>
      </c>
      <c r="Q78" s="167">
        <f>O78/N78*100</f>
        <v>91.93454545454544</v>
      </c>
      <c r="R78" s="38">
        <v>1500</v>
      </c>
      <c r="S78" s="38" t="e">
        <f>#N/A</f>
        <v>#N/A</v>
      </c>
    </row>
    <row r="79" spans="2:19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26"/>
        <v>1</v>
      </c>
      <c r="H79" s="164">
        <f>F79/E79*100</f>
        <v>111.11111111111111</v>
      </c>
      <c r="I79" s="167">
        <f t="shared" si="28"/>
        <v>-2</v>
      </c>
      <c r="J79" s="167">
        <f>F79/D79*100</f>
        <v>83.33333333333334</v>
      </c>
      <c r="K79" s="167">
        <v>10</v>
      </c>
      <c r="L79" s="167">
        <f t="shared" si="24"/>
        <v>0</v>
      </c>
      <c r="M79" s="209">
        <f t="shared" si="25"/>
        <v>1</v>
      </c>
      <c r="N79" s="157">
        <f>E79-серпень!E79</f>
        <v>1</v>
      </c>
      <c r="O79" s="160">
        <f>F79-серпень!F79</f>
        <v>1</v>
      </c>
      <c r="P79" s="167">
        <f t="shared" si="27"/>
        <v>0</v>
      </c>
      <c r="Q79" s="167">
        <f>O79/N79*100</f>
        <v>100</v>
      </c>
      <c r="R79" s="38">
        <v>1</v>
      </c>
      <c r="S79" s="38" t="e">
        <f>#N/A</f>
        <v>#N/A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17801.87</v>
      </c>
      <c r="G80" s="185">
        <f t="shared" si="26"/>
        <v>-75887.13</v>
      </c>
      <c r="H80" s="186">
        <f>F80/E80*100</f>
        <v>19.001024666716475</v>
      </c>
      <c r="I80" s="187">
        <f t="shared" si="28"/>
        <v>-219416.16</v>
      </c>
      <c r="J80" s="187">
        <f>F80/D80*100</f>
        <v>7.504433790298318</v>
      </c>
      <c r="K80" s="187">
        <v>20583.82</v>
      </c>
      <c r="L80" s="167">
        <f t="shared" si="24"/>
        <v>-2781.9500000000007</v>
      </c>
      <c r="M80" s="209">
        <f t="shared" si="25"/>
        <v>0.8648477299160214</v>
      </c>
      <c r="N80" s="185">
        <f>N76+N77+N78+N79</f>
        <v>28951</v>
      </c>
      <c r="O80" s="189">
        <f>O76+O77+O78+O79</f>
        <v>3784.99</v>
      </c>
      <c r="P80" s="187">
        <f t="shared" si="27"/>
        <v>-25166.010000000002</v>
      </c>
      <c r="Q80" s="187">
        <f>O80/N80*100</f>
        <v>13.07377983489344</v>
      </c>
      <c r="R80" s="39">
        <f>SUM(R76:R79)</f>
        <v>1701</v>
      </c>
      <c r="S80" s="39" t="e">
        <f>#N/A</f>
        <v>#N/A</v>
      </c>
    </row>
    <row r="81" spans="2:19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6"/>
        <v>19.14</v>
      </c>
      <c r="H81" s="164"/>
      <c r="I81" s="167">
        <f t="shared" si="28"/>
        <v>-1.8599999999999994</v>
      </c>
      <c r="J81" s="167"/>
      <c r="K81" s="167">
        <v>35.78</v>
      </c>
      <c r="L81" s="167">
        <f t="shared" si="24"/>
        <v>2.3599999999999994</v>
      </c>
      <c r="M81" s="209">
        <f t="shared" si="25"/>
        <v>1.0659586361095583</v>
      </c>
      <c r="N81" s="157">
        <f>E81-серпень!E81</f>
        <v>15</v>
      </c>
      <c r="O81" s="160">
        <f>F81-серпень!F81</f>
        <v>0</v>
      </c>
      <c r="P81" s="167">
        <f t="shared" si="27"/>
        <v>-15</v>
      </c>
      <c r="Q81" s="167"/>
      <c r="R81" s="38">
        <v>1</v>
      </c>
      <c r="S81" s="38" t="e">
        <f>#N/A</f>
        <v>#N/A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6"/>
        <v>0</v>
      </c>
      <c r="H82" s="164"/>
      <c r="I82" s="167">
        <f t="shared" si="28"/>
        <v>0</v>
      </c>
      <c r="J82" s="190"/>
      <c r="K82" s="167">
        <v>0</v>
      </c>
      <c r="L82" s="167">
        <f t="shared" si="24"/>
        <v>0</v>
      </c>
      <c r="M82" s="209" t="e">
        <f t="shared" si="25"/>
        <v>#DIV/0!</v>
      </c>
      <c r="N82" s="157">
        <f>E82-серпень!E82</f>
        <v>0</v>
      </c>
      <c r="O82" s="160">
        <f>F82-серпень!F82</f>
        <v>0</v>
      </c>
      <c r="P82" s="167">
        <f t="shared" si="27"/>
        <v>0</v>
      </c>
      <c r="Q82" s="190"/>
      <c r="R82" s="41"/>
      <c r="S82" s="38" t="e">
        <f>#N/A</f>
        <v>#N/A</v>
      </c>
    </row>
    <row r="83" spans="2:19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26"/>
        <v>181.73000000000047</v>
      </c>
      <c r="H83" s="164">
        <f>F83/E83*100</f>
        <v>102.84232916777454</v>
      </c>
      <c r="I83" s="167">
        <f t="shared" si="28"/>
        <v>-1784.5699999999997</v>
      </c>
      <c r="J83" s="167">
        <f>F83/D83*100</f>
        <v>78.65346889952154</v>
      </c>
      <c r="K83" s="167">
        <v>6825.67</v>
      </c>
      <c r="L83" s="167">
        <f t="shared" si="24"/>
        <v>-250.23999999999978</v>
      </c>
      <c r="M83" s="209">
        <f t="shared" si="25"/>
        <v>0.9633383975492517</v>
      </c>
      <c r="N83" s="157">
        <f>E83-серпень!E83</f>
        <v>0.4999999999990905</v>
      </c>
      <c r="O83" s="160">
        <f>F83-серпень!F83</f>
        <v>1.6700000000000728</v>
      </c>
      <c r="P83" s="167">
        <f t="shared" si="27"/>
        <v>1.1700000000009823</v>
      </c>
      <c r="Q83" s="167">
        <f>O83/N83*100</f>
        <v>334.0000000006221</v>
      </c>
      <c r="R83" s="41">
        <v>2850</v>
      </c>
      <c r="S83" s="288" t="e">
        <f>#N/A</f>
        <v>#N/A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6"/>
        <v>0.08</v>
      </c>
      <c r="H84" s="164"/>
      <c r="I84" s="167">
        <f t="shared" si="28"/>
        <v>0.08</v>
      </c>
      <c r="J84" s="167"/>
      <c r="K84" s="167">
        <v>1.22</v>
      </c>
      <c r="L84" s="167">
        <f t="shared" si="24"/>
        <v>-1.14</v>
      </c>
      <c r="M84" s="209">
        <f t="shared" si="25"/>
        <v>0.06557377049180328</v>
      </c>
      <c r="N84" s="157">
        <f>E84-серпень!E84</f>
        <v>0</v>
      </c>
      <c r="O84" s="160">
        <f>F84-серпень!F84</f>
        <v>0</v>
      </c>
      <c r="P84" s="167">
        <f t="shared" si="27"/>
        <v>0</v>
      </c>
      <c r="Q84" s="190"/>
      <c r="R84" s="38">
        <v>0</v>
      </c>
      <c r="S84" s="38" t="e">
        <f>#N/A</f>
        <v>#N/A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26"/>
        <v>200.95000000000073</v>
      </c>
      <c r="H85" s="186">
        <f>F85/E85*100</f>
        <v>103.1336254619739</v>
      </c>
      <c r="I85" s="187">
        <f t="shared" si="28"/>
        <v>-1786.3499999999995</v>
      </c>
      <c r="J85" s="187">
        <f>F85/D85*100</f>
        <v>78.73392857142858</v>
      </c>
      <c r="K85" s="187">
        <v>6862.67</v>
      </c>
      <c r="L85" s="167">
        <f t="shared" si="24"/>
        <v>-249.01999999999953</v>
      </c>
      <c r="M85" s="209">
        <f t="shared" si="25"/>
        <v>0.9637138314970705</v>
      </c>
      <c r="N85" s="185">
        <f>N81+N84+N82+N83</f>
        <v>15.49999999999909</v>
      </c>
      <c r="O85" s="189">
        <f>O81+O84+O82+O83</f>
        <v>1.6700000000000728</v>
      </c>
      <c r="P85" s="187">
        <f t="shared" si="27"/>
        <v>-13.829999999999018</v>
      </c>
      <c r="Q85" s="187">
        <f>O85/N85*100</f>
        <v>10.7741935483882</v>
      </c>
      <c r="R85" s="39">
        <f>SUM(R81:R84)</f>
        <v>2851</v>
      </c>
      <c r="S85" s="39" t="e">
        <f>#N/A</f>
        <v>#N/A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24.56</v>
      </c>
      <c r="G86" s="162">
        <f t="shared" si="26"/>
        <v>-9.140000000000004</v>
      </c>
      <c r="H86" s="164">
        <f>F86/E86*100</f>
        <v>72.87833827893174</v>
      </c>
      <c r="I86" s="167">
        <f t="shared" si="28"/>
        <v>-13.440000000000001</v>
      </c>
      <c r="J86" s="167">
        <f>F86/D86*100</f>
        <v>64.63157894736841</v>
      </c>
      <c r="K86" s="187">
        <v>26.87</v>
      </c>
      <c r="L86" s="167">
        <f t="shared" si="24"/>
        <v>-2.3100000000000023</v>
      </c>
      <c r="M86" s="209">
        <f t="shared" si="25"/>
        <v>0.9140305173055452</v>
      </c>
      <c r="N86" s="157">
        <f>E86-серпень!E86</f>
        <v>7.300000000000001</v>
      </c>
      <c r="O86" s="160">
        <f>F86-серпень!F86</f>
        <v>6.91</v>
      </c>
      <c r="P86" s="167">
        <f t="shared" si="27"/>
        <v>-0.39000000000000057</v>
      </c>
      <c r="Q86" s="167">
        <f>O86/N86*100</f>
        <v>94.65753424657534</v>
      </c>
      <c r="R86" s="38">
        <v>1.2</v>
      </c>
      <c r="S86" s="38" t="e">
        <f>#N/A</f>
        <v>#N/A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>
        <v>18.76</v>
      </c>
      <c r="L87" s="187" t="e">
        <f>#N/A</f>
        <v>#N/A</v>
      </c>
      <c r="M87" s="209">
        <f t="shared" si="25"/>
        <v>0</v>
      </c>
      <c r="N87" s="164">
        <f>E87-квітень!E87</f>
        <v>0</v>
      </c>
      <c r="O87" s="168">
        <f>F87-квітень!F87</f>
        <v>0</v>
      </c>
      <c r="P87" s="167" t="e">
        <f>#N/A</f>
        <v>#N/A</v>
      </c>
      <c r="Q87" s="167"/>
      <c r="R87" s="38">
        <v>0</v>
      </c>
      <c r="S87" s="38" t="e">
        <f>#N/A</f>
        <v>#N/A</v>
      </c>
    </row>
    <row r="88" spans="2:19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24473.02</v>
      </c>
      <c r="G88" s="309">
        <f>F88-E88</f>
        <v>-75662.37999999999</v>
      </c>
      <c r="H88" s="310">
        <f>F88/E88*100</f>
        <v>24.43992833703166</v>
      </c>
      <c r="I88" s="301">
        <f>F88-D88</f>
        <v>-221183.01</v>
      </c>
      <c r="J88" s="301">
        <f>F88/D88*100</f>
        <v>9.96231193673528</v>
      </c>
      <c r="K88" s="308">
        <v>27469.53</v>
      </c>
      <c r="L88" s="301">
        <f>F88-K88</f>
        <v>-2996.5099999999984</v>
      </c>
      <c r="M88" s="302">
        <f t="shared" si="25"/>
        <v>0.8909151339684371</v>
      </c>
      <c r="N88" s="308">
        <f>N74+N75+N80+N85+N86</f>
        <v>28973.8</v>
      </c>
      <c r="O88" s="308">
        <f>O74+O75+O80+O85+O86</f>
        <v>3793.5699999999997</v>
      </c>
      <c r="P88" s="301">
        <f>O88-N88</f>
        <v>-25180.23</v>
      </c>
      <c r="Q88" s="301">
        <f>O88/N88*100</f>
        <v>13.09310480503075</v>
      </c>
      <c r="R88" s="27">
        <f>R80+R85+R86+R87</f>
        <v>4553.2</v>
      </c>
      <c r="S88" s="27" t="e">
        <f>S80+S85+S86+S87</f>
        <v>#N/A</v>
      </c>
    </row>
    <row r="89" spans="2:19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997270.41</v>
      </c>
      <c r="G89" s="309">
        <f>F89-E89</f>
        <v>-95056.19000000006</v>
      </c>
      <c r="H89" s="310">
        <f>F89/E89*100</f>
        <v>91.29782337993049</v>
      </c>
      <c r="I89" s="301">
        <f>F89-D89</f>
        <v>-605876.7200000001</v>
      </c>
      <c r="J89" s="301">
        <f>F89/D89*100</f>
        <v>62.2070420947577</v>
      </c>
      <c r="K89" s="301">
        <f>K67+K88</f>
        <v>784969.6</v>
      </c>
      <c r="L89" s="301">
        <f>L67+L88</f>
        <v>212300.81000000006</v>
      </c>
      <c r="M89" s="302">
        <f t="shared" si="25"/>
        <v>1.2704573654826887</v>
      </c>
      <c r="N89" s="309">
        <f>N67+N88</f>
        <v>134766.19999999995</v>
      </c>
      <c r="O89" s="309">
        <f>O67+O88</f>
        <v>91076.79999999996</v>
      </c>
      <c r="P89" s="301">
        <f>O89-N89</f>
        <v>-43689.399999999994</v>
      </c>
      <c r="Q89" s="301">
        <f>O89/N89*100</f>
        <v>67.58133716020782</v>
      </c>
      <c r="R89" s="27">
        <f>R67+R88</f>
        <v>112668.9</v>
      </c>
      <c r="S89" s="27" t="e">
        <f>S67+S88</f>
        <v>#N/A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1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18509.17</v>
      </c>
      <c r="D92" s="4" t="s">
        <v>24</v>
      </c>
      <c r="G92" s="341"/>
      <c r="H92" s="341"/>
      <c r="I92" s="341"/>
      <c r="J92" s="341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43006</v>
      </c>
      <c r="D93" s="29">
        <v>10724.7</v>
      </c>
      <c r="G93" s="4" t="s">
        <v>58</v>
      </c>
      <c r="O93" s="342"/>
      <c r="P93" s="342"/>
    </row>
    <row r="94" spans="3:16" ht="15">
      <c r="C94" s="81">
        <v>43005</v>
      </c>
      <c r="D94" s="29">
        <v>4636.5</v>
      </c>
      <c r="G94" s="334"/>
      <c r="H94" s="334"/>
      <c r="I94" s="118"/>
      <c r="J94" s="295"/>
      <c r="K94" s="295"/>
      <c r="L94" s="295"/>
      <c r="M94" s="295"/>
      <c r="N94" s="295"/>
      <c r="O94" s="342"/>
      <c r="P94" s="342"/>
    </row>
    <row r="95" spans="3:16" ht="15.75" customHeight="1">
      <c r="C95" s="81">
        <v>43004</v>
      </c>
      <c r="D95" s="29">
        <v>1592.9</v>
      </c>
      <c r="F95" s="68"/>
      <c r="G95" s="334"/>
      <c r="H95" s="334"/>
      <c r="I95" s="118"/>
      <c r="J95" s="296"/>
      <c r="K95" s="296"/>
      <c r="L95" s="296"/>
      <c r="M95" s="296"/>
      <c r="N95" s="296"/>
      <c r="O95" s="342"/>
      <c r="P95" s="342"/>
    </row>
    <row r="96" spans="3:14" ht="15.75" customHeight="1">
      <c r="C96" s="81"/>
      <c r="F96" s="68"/>
      <c r="G96" s="346"/>
      <c r="H96" s="346"/>
      <c r="I96" s="124"/>
      <c r="J96" s="295"/>
      <c r="K96" s="295"/>
      <c r="L96" s="295"/>
      <c r="M96" s="295"/>
      <c r="N96" s="295"/>
    </row>
    <row r="97" spans="2:14" ht="18" customHeight="1">
      <c r="B97" s="347" t="s">
        <v>56</v>
      </c>
      <c r="C97" s="348"/>
      <c r="D97" s="133">
        <v>401.48068</v>
      </c>
      <c r="E97" s="69"/>
      <c r="F97" s="125" t="s">
        <v>107</v>
      </c>
      <c r="G97" s="334"/>
      <c r="H97" s="334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34"/>
      <c r="H98" s="334"/>
      <c r="I98" s="68"/>
      <c r="J98" s="69"/>
      <c r="K98" s="69"/>
      <c r="L98" s="69"/>
      <c r="M98" s="69"/>
    </row>
    <row r="99" spans="2:13" ht="22.5" customHeight="1" hidden="1">
      <c r="B99" s="343" t="s">
        <v>59</v>
      </c>
      <c r="C99" s="344"/>
      <c r="D99" s="80">
        <v>0</v>
      </c>
      <c r="E99" s="51" t="s">
        <v>24</v>
      </c>
      <c r="F99" s="68"/>
      <c r="G99" s="334"/>
      <c r="H99" s="33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1369.19</v>
      </c>
      <c r="G100" s="68">
        <f>G48+G51+G52</f>
        <v>477.19000000000005</v>
      </c>
      <c r="H100" s="69"/>
      <c r="I100" s="69"/>
      <c r="N100" s="29">
        <f>N48+N51+N52</f>
        <v>86</v>
      </c>
      <c r="O100" s="202">
        <f>O48+O51+O52</f>
        <v>148.4</v>
      </c>
      <c r="P100" s="29">
        <f>P48+P51+P52</f>
        <v>62.40000000000001</v>
      </c>
    </row>
    <row r="101" spans="4:16" ht="15" hidden="1">
      <c r="D101" s="78"/>
      <c r="I101" s="29"/>
      <c r="O101" s="345"/>
      <c r="P101" s="34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923076.13</v>
      </c>
      <c r="G102" s="29">
        <f>F102-E102</f>
        <v>-24049.27000000002</v>
      </c>
      <c r="H102" s="230">
        <f>F102/E102</f>
        <v>0.9746081458695965</v>
      </c>
      <c r="I102" s="29">
        <f>F102-D102</f>
        <v>-375972.4700000001</v>
      </c>
      <c r="J102" s="230">
        <f>F102/D102</f>
        <v>0.7105785957507671</v>
      </c>
      <c r="N102" s="29">
        <f>N9+N15+N17+N18+N19+N23+N42+N45+N65+N59</f>
        <v>100821.59999999996</v>
      </c>
      <c r="O102" s="229">
        <f>O9+O15+O17+O18+O19+O23+O42+O45+O65+O59</f>
        <v>81399.29999999997</v>
      </c>
      <c r="P102" s="29">
        <f>O102-N102</f>
        <v>-19422.29999999999</v>
      </c>
      <c r="Q102" s="230">
        <f>O102/N102</f>
        <v>0.8073597324382871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49697.39</v>
      </c>
      <c r="G103" s="29">
        <f>G43+G44+G46+G48+G50+G51+G52+G53+G54+G60+G64+G47</f>
        <v>4636.759999999997</v>
      </c>
      <c r="H103" s="230">
        <f>F103/E103</f>
        <v>1.102773943877619</v>
      </c>
      <c r="I103" s="29">
        <f>I43+I44+I46+I48+I50+I51+I52+I53+I54+I60+I64+I47</f>
        <v>-8739.940000000006</v>
      </c>
      <c r="J103" s="230">
        <f>F103/D103</f>
        <v>0.850363861915558</v>
      </c>
      <c r="K103" s="29">
        <f>K43+K44+K46+K48+K50+K51+K52+K53+K54+K60+K64+K47</f>
        <v>49023.450000000004</v>
      </c>
      <c r="L103" s="29">
        <f>L43+L44+L46+L48+L50+L51+L52+L53+L54+L60+L64+L47</f>
        <v>679.1099999999963</v>
      </c>
      <c r="M103" s="29">
        <f>M43+M44+M46+M48+M50+M51+M52+M53+M54+M60+M64+M47</f>
        <v>20.353688960182584</v>
      </c>
      <c r="N103" s="29">
        <f>N43+N44+N46+N48+N50+N51+N52+N53+N54+N60+N64+N47+N66</f>
        <v>4970.8</v>
      </c>
      <c r="O103" s="229">
        <f>O43+O44+O46+O48+O50+O51+O52+O53+O54+O60+O64+O47+O66</f>
        <v>5883.9299999999985</v>
      </c>
      <c r="P103" s="29">
        <f>P43+P44+P46+P48+P50+P51+P52+P53+P54+P60+P64+P47</f>
        <v>913.1299999999981</v>
      </c>
      <c r="Q103" s="230">
        <f>O103/N103</f>
        <v>1.1836988009978269</v>
      </c>
    </row>
    <row r="104" spans="2:17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9" t="e">
        <f>#N/A</f>
        <v>#N/A</v>
      </c>
      <c r="L104" s="29" t="e">
        <f>#N/A</f>
        <v>#N/A</v>
      </c>
      <c r="M104" s="29" t="e">
        <f>#N/A</f>
        <v>#N/A</v>
      </c>
      <c r="N104" s="29" t="e">
        <f>#N/A</f>
        <v>#N/A</v>
      </c>
      <c r="O104" s="229" t="e">
        <f>#N/A</f>
        <v>#N/A</v>
      </c>
      <c r="P104" s="29" t="e">
        <f>#N/A</f>
        <v>#N/A</v>
      </c>
      <c r="Q104" s="230" t="e">
        <f>O104/N104</f>
        <v>#N/A</v>
      </c>
    </row>
    <row r="105" spans="4:19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9" t="e">
        <f>K67-K104</f>
        <v>#N/A</v>
      </c>
      <c r="L105" s="29" t="e">
        <f>#N/A</f>
        <v>#N/A</v>
      </c>
      <c r="M105" s="29" t="e">
        <f>#N/A</f>
        <v>#N/A</v>
      </c>
      <c r="N105" s="29" t="e">
        <f>#N/A</f>
        <v>#N/A</v>
      </c>
      <c r="O105" s="29" t="e">
        <f>#N/A</f>
        <v>#N/A</v>
      </c>
      <c r="P105" s="29" t="e">
        <f>#N/A</f>
        <v>#N/A</v>
      </c>
      <c r="Q105" s="29"/>
      <c r="R105" s="29" t="e">
        <f>#N/A</f>
        <v>#N/A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102455.50000000006</v>
      </c>
    </row>
    <row r="108" spans="2:5" ht="15" hidden="1">
      <c r="B108" s="245" t="s">
        <v>166</v>
      </c>
      <c r="E108" s="29">
        <f>E88-E83-E76-E77</f>
        <v>27811.699999999997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44727.34</v>
      </c>
      <c r="G111" s="192">
        <f>F111-E111</f>
        <v>-73510.12</v>
      </c>
      <c r="H111" s="193">
        <f>F111/E111*100</f>
        <v>37.82840057626407</v>
      </c>
      <c r="I111" s="194">
        <f>F111-D111</f>
        <v>-273336.91000000003</v>
      </c>
      <c r="J111" s="194">
        <f>F111/D111*100</f>
        <v>14.062360042035532</v>
      </c>
      <c r="K111" s="194">
        <v>3039.87</v>
      </c>
      <c r="L111" s="194">
        <f>F111-K111</f>
        <v>41687.469999999994</v>
      </c>
      <c r="M111" s="269">
        <f>F111/K111</f>
        <v>14.713569988190283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1017524.73</v>
      </c>
      <c r="G112" s="192">
        <f>F112-E112</f>
        <v>-92903.93000000017</v>
      </c>
      <c r="H112" s="193">
        <f>F112/E112*100</f>
        <v>91.63350755013833</v>
      </c>
      <c r="I112" s="194">
        <f>F112-D112</f>
        <v>-658030.6200000001</v>
      </c>
      <c r="J112" s="194">
        <f>F112/D112*100</f>
        <v>60.72761069934216</v>
      </c>
      <c r="K112" s="194">
        <f>K89+K111</f>
        <v>788009.47</v>
      </c>
      <c r="L112" s="194">
        <f>F112-K112</f>
        <v>229515.26</v>
      </c>
      <c r="M112" s="269">
        <f>F112/K112</f>
        <v>1.291259520015667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Q113" s="89"/>
    </row>
    <row r="114" spans="2:17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Q123" s="89"/>
    </row>
    <row r="124" spans="2:17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Q124" s="243"/>
    </row>
    <row r="125" ht="15" hidden="1"/>
    <row r="126" ht="15" hidden="1"/>
  </sheetData>
  <sheetProtection/>
  <mergeCells count="33">
    <mergeCell ref="G98:H98"/>
    <mergeCell ref="B99:C99"/>
    <mergeCell ref="G99:H99"/>
    <mergeCell ref="O101:P101"/>
    <mergeCell ref="G94:H94"/>
    <mergeCell ref="O94:P94"/>
    <mergeCell ref="G95:H95"/>
    <mergeCell ref="O95:P95"/>
    <mergeCell ref="G96:H96"/>
    <mergeCell ref="B97:C97"/>
    <mergeCell ref="G97:H97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31496062992125984" right="0.11811023622047245" top="0.15748031496062992" bottom="0.15748031496062992" header="0" footer="0"/>
  <pageSetup fitToHeight="1" fitToWidth="1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Z5" sqref="Z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12" t="s">
        <v>132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7"/>
    </row>
    <row r="2" spans="2:19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14"/>
      <c r="B3" s="316"/>
      <c r="C3" s="317" t="s">
        <v>0</v>
      </c>
      <c r="D3" s="318" t="s">
        <v>126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129</v>
      </c>
      <c r="O3" s="325" t="s">
        <v>125</v>
      </c>
      <c r="P3" s="325"/>
      <c r="Q3" s="325"/>
      <c r="R3" s="325"/>
      <c r="S3" s="325"/>
    </row>
    <row r="4" spans="1:19" ht="22.5" customHeight="1">
      <c r="A4" s="314"/>
      <c r="B4" s="316"/>
      <c r="C4" s="317"/>
      <c r="D4" s="318"/>
      <c r="E4" s="326" t="s">
        <v>127</v>
      </c>
      <c r="F4" s="328" t="s">
        <v>33</v>
      </c>
      <c r="G4" s="330" t="s">
        <v>128</v>
      </c>
      <c r="H4" s="323" t="s">
        <v>122</v>
      </c>
      <c r="I4" s="330" t="s">
        <v>103</v>
      </c>
      <c r="J4" s="323" t="s">
        <v>104</v>
      </c>
      <c r="K4" s="85" t="s">
        <v>114</v>
      </c>
      <c r="L4" s="204" t="s">
        <v>113</v>
      </c>
      <c r="M4" s="90" t="s">
        <v>63</v>
      </c>
      <c r="N4" s="323"/>
      <c r="O4" s="332" t="s">
        <v>133</v>
      </c>
      <c r="P4" s="330" t="s">
        <v>49</v>
      </c>
      <c r="Q4" s="335" t="s">
        <v>48</v>
      </c>
      <c r="R4" s="91" t="s">
        <v>64</v>
      </c>
      <c r="S4" s="92" t="s">
        <v>63</v>
      </c>
    </row>
    <row r="5" spans="1:19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130</v>
      </c>
      <c r="L5" s="337"/>
      <c r="M5" s="338"/>
      <c r="N5" s="324"/>
      <c r="O5" s="333"/>
      <c r="P5" s="331"/>
      <c r="Q5" s="335"/>
      <c r="R5" s="336" t="s">
        <v>102</v>
      </c>
      <c r="S5" s="338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140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140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140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140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140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156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140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163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156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156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17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>#N/A</f>
        <v>2000</v>
      </c>
      <c r="F23" s="163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163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17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17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163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163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199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156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156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156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156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156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156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156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156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156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156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156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156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156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140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140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140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140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156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156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41"/>
      <c r="H89" s="341"/>
      <c r="I89" s="341"/>
      <c r="J89" s="341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42"/>
      <c r="P90" s="342"/>
      <c r="T90" s="147">
        <f>#N/A</f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334"/>
      <c r="H91" s="334"/>
      <c r="I91" s="118"/>
      <c r="J91" s="349"/>
      <c r="K91" s="349"/>
      <c r="L91" s="349"/>
      <c r="M91" s="349"/>
      <c r="N91" s="349"/>
      <c r="O91" s="342"/>
      <c r="P91" s="342"/>
    </row>
    <row r="92" spans="3:16" ht="15.75" customHeight="1">
      <c r="C92" s="81">
        <v>42732</v>
      </c>
      <c r="D92" s="29">
        <v>19085.6</v>
      </c>
      <c r="F92" s="68"/>
      <c r="G92" s="334"/>
      <c r="H92" s="334"/>
      <c r="I92" s="118"/>
      <c r="J92" s="350"/>
      <c r="K92" s="350"/>
      <c r="L92" s="350"/>
      <c r="M92" s="350"/>
      <c r="N92" s="350"/>
      <c r="O92" s="342"/>
      <c r="P92" s="342"/>
    </row>
    <row r="93" spans="3:14" ht="15.75" customHeight="1">
      <c r="C93" s="81"/>
      <c r="F93" s="68"/>
      <c r="G93" s="346"/>
      <c r="H93" s="346"/>
      <c r="I93" s="124"/>
      <c r="J93" s="349"/>
      <c r="K93" s="349"/>
      <c r="L93" s="349"/>
      <c r="M93" s="349"/>
      <c r="N93" s="349"/>
    </row>
    <row r="94" spans="2:14" ht="18.75" customHeight="1">
      <c r="B94" s="347" t="s">
        <v>56</v>
      </c>
      <c r="C94" s="348"/>
      <c r="D94" s="133" t="e">
        <f>'[1]ЧТКЕ'!$G$6/1000</f>
        <v>#VALUE!</v>
      </c>
      <c r="E94" s="69"/>
      <c r="F94" s="125" t="s">
        <v>107</v>
      </c>
      <c r="G94" s="334"/>
      <c r="H94" s="334"/>
      <c r="I94" s="126"/>
      <c r="J94" s="349"/>
      <c r="K94" s="349"/>
      <c r="L94" s="349"/>
      <c r="M94" s="349"/>
      <c r="N94" s="349"/>
    </row>
    <row r="95" spans="6:13" ht="9" customHeight="1">
      <c r="F95" s="68"/>
      <c r="G95" s="334"/>
      <c r="H95" s="334"/>
      <c r="I95" s="68"/>
      <c r="J95" s="69"/>
      <c r="K95" s="69"/>
      <c r="L95" s="69"/>
      <c r="M95" s="69"/>
    </row>
    <row r="96" spans="2:13" ht="22.5" customHeight="1" hidden="1">
      <c r="B96" s="343" t="s">
        <v>59</v>
      </c>
      <c r="C96" s="344"/>
      <c r="D96" s="80">
        <v>0</v>
      </c>
      <c r="E96" s="51" t="s">
        <v>24</v>
      </c>
      <c r="F96" s="68"/>
      <c r="G96" s="334"/>
      <c r="H96" s="334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45"/>
      <c r="P98" s="345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229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2" sqref="F6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12" t="s">
        <v>233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6"/>
    </row>
    <row r="2" spans="2:19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230</v>
      </c>
      <c r="O3" s="325" t="s">
        <v>235</v>
      </c>
      <c r="P3" s="325"/>
      <c r="Q3" s="325"/>
      <c r="R3" s="325"/>
      <c r="S3" s="325"/>
    </row>
    <row r="4" spans="1:19" ht="22.5" customHeight="1">
      <c r="A4" s="314"/>
      <c r="B4" s="316"/>
      <c r="C4" s="317"/>
      <c r="D4" s="318"/>
      <c r="E4" s="326" t="s">
        <v>227</v>
      </c>
      <c r="F4" s="328" t="s">
        <v>33</v>
      </c>
      <c r="G4" s="330" t="s">
        <v>228</v>
      </c>
      <c r="H4" s="323" t="s">
        <v>229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234</v>
      </c>
      <c r="P4" s="330" t="s">
        <v>49</v>
      </c>
      <c r="Q4" s="335" t="s">
        <v>48</v>
      </c>
      <c r="R4" s="91" t="s">
        <v>64</v>
      </c>
      <c r="S4" s="91"/>
    </row>
    <row r="5" spans="1:19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231</v>
      </c>
      <c r="L5" s="337"/>
      <c r="M5" s="338"/>
      <c r="N5" s="324"/>
      <c r="O5" s="333"/>
      <c r="P5" s="331"/>
      <c r="Q5" s="335"/>
      <c r="R5" s="339" t="s">
        <v>215</v>
      </c>
      <c r="S5" s="34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287">
        <f>H42+H43+H44+H45+H46+H48+H50+H51+H52+H53+H54+H59+H60+H64+H47+H49</f>
        <v>6837.4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F42-E42</f>
        <v>3077.9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6">F43-E43</f>
        <v>-1231.8600000000006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99.3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>
        <f t="shared" si="18"/>
        <v>12.95</v>
      </c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427.15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3.6299999999999955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232.87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>
        <f t="shared" si="18"/>
        <v>23.38</v>
      </c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4973.82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166.24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15.68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-521.6599999999999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-239.01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05">
        <f t="shared" si="18"/>
        <v>-193.01999999999998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05">
        <f t="shared" si="18"/>
        <v>0.15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05">
        <f t="shared" si="18"/>
        <v>0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05">
        <f t="shared" si="18"/>
        <v>-46.14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-0.45999999999999996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-182.67000000000007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>
        <f t="shared" si="18"/>
        <v>0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1406.35+0.5</f>
        <v>1406.85</v>
      </c>
      <c r="G62" s="253">
        <f t="shared" si="16"/>
        <v>1406.85</v>
      </c>
      <c r="H62" s="195">
        <f t="shared" si="18"/>
        <v>1406.85</v>
      </c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>
        <f t="shared" si="18"/>
        <v>0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-19.86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20.849999999999998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>
        <f t="shared" si="18"/>
        <v>-5.17</v>
      </c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F75-червень!F75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41"/>
      <c r="H92" s="341"/>
      <c r="I92" s="341"/>
      <c r="J92" s="341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342"/>
      <c r="P93" s="342"/>
    </row>
    <row r="94" spans="3:16" ht="15">
      <c r="C94" s="81">
        <v>42977</v>
      </c>
      <c r="D94" s="29">
        <v>9672.2</v>
      </c>
      <c r="G94" s="334"/>
      <c r="H94" s="334"/>
      <c r="I94" s="118"/>
      <c r="J94" s="295"/>
      <c r="K94" s="295"/>
      <c r="L94" s="295"/>
      <c r="M94" s="295"/>
      <c r="N94" s="295"/>
      <c r="O94" s="342"/>
      <c r="P94" s="342"/>
    </row>
    <row r="95" spans="3:16" ht="15.75" customHeight="1">
      <c r="C95" s="81">
        <v>42976</v>
      </c>
      <c r="D95" s="29">
        <v>5224.7</v>
      </c>
      <c r="F95" s="68"/>
      <c r="G95" s="334"/>
      <c r="H95" s="334"/>
      <c r="I95" s="118"/>
      <c r="J95" s="296"/>
      <c r="K95" s="296"/>
      <c r="L95" s="296"/>
      <c r="M95" s="296"/>
      <c r="N95" s="296"/>
      <c r="O95" s="342"/>
      <c r="P95" s="342"/>
    </row>
    <row r="96" spans="3:14" ht="15.75" customHeight="1">
      <c r="C96" s="81"/>
      <c r="F96" s="68"/>
      <c r="G96" s="346"/>
      <c r="H96" s="346"/>
      <c r="I96" s="124"/>
      <c r="J96" s="295"/>
      <c r="K96" s="295"/>
      <c r="L96" s="295"/>
      <c r="M96" s="295"/>
      <c r="N96" s="295"/>
    </row>
    <row r="97" spans="2:14" ht="18" customHeight="1">
      <c r="B97" s="347" t="s">
        <v>56</v>
      </c>
      <c r="C97" s="348"/>
      <c r="D97" s="133" t="e">
        <f>'[1]ЧТКЕ'!$G$6/1000</f>
        <v>#VALUE!</v>
      </c>
      <c r="E97" s="69"/>
      <c r="F97" s="125" t="s">
        <v>107</v>
      </c>
      <c r="G97" s="334"/>
      <c r="H97" s="334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34"/>
      <c r="H98" s="334"/>
      <c r="I98" s="68"/>
      <c r="J98" s="69"/>
      <c r="K98" s="69"/>
      <c r="L98" s="69"/>
      <c r="M98" s="69"/>
    </row>
    <row r="99" spans="2:13" ht="22.5" customHeight="1" hidden="1">
      <c r="B99" s="343" t="s">
        <v>59</v>
      </c>
      <c r="C99" s="344"/>
      <c r="D99" s="80">
        <v>0</v>
      </c>
      <c r="E99" s="51" t="s">
        <v>24</v>
      </c>
      <c r="F99" s="68"/>
      <c r="G99" s="334"/>
      <c r="H99" s="33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345"/>
      <c r="P101" s="34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B99:C99"/>
    <mergeCell ref="G99:H99"/>
    <mergeCell ref="O101:P101"/>
    <mergeCell ref="G96:H96"/>
    <mergeCell ref="B97:C97"/>
    <mergeCell ref="G97:H97"/>
    <mergeCell ref="G98:H98"/>
    <mergeCell ref="G94:H94"/>
    <mergeCell ref="O94:P94"/>
    <mergeCell ref="G95:H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4" sqref="F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12" t="s">
        <v>232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6"/>
    </row>
    <row r="2" spans="2:19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218</v>
      </c>
      <c r="O3" s="325" t="s">
        <v>220</v>
      </c>
      <c r="P3" s="325"/>
      <c r="Q3" s="325"/>
      <c r="R3" s="325"/>
      <c r="S3" s="325"/>
    </row>
    <row r="4" spans="1:19" ht="22.5" customHeight="1">
      <c r="A4" s="314"/>
      <c r="B4" s="316"/>
      <c r="C4" s="317"/>
      <c r="D4" s="318"/>
      <c r="E4" s="326" t="s">
        <v>219</v>
      </c>
      <c r="F4" s="328" t="s">
        <v>33</v>
      </c>
      <c r="G4" s="330" t="s">
        <v>221</v>
      </c>
      <c r="H4" s="323" t="s">
        <v>222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226</v>
      </c>
      <c r="P4" s="330" t="s">
        <v>49</v>
      </c>
      <c r="Q4" s="335" t="s">
        <v>48</v>
      </c>
      <c r="R4" s="91" t="s">
        <v>64</v>
      </c>
      <c r="S4" s="91"/>
    </row>
    <row r="5" spans="1:19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225</v>
      </c>
      <c r="L5" s="337"/>
      <c r="M5" s="338"/>
      <c r="N5" s="324"/>
      <c r="O5" s="333"/>
      <c r="P5" s="331"/>
      <c r="Q5" s="335"/>
      <c r="R5" s="339" t="s">
        <v>215</v>
      </c>
      <c r="S5" s="34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1234.58+0.5</f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41"/>
      <c r="H92" s="341"/>
      <c r="I92" s="341"/>
      <c r="J92" s="341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42"/>
      <c r="P93" s="342"/>
    </row>
    <row r="94" spans="3:16" ht="15">
      <c r="C94" s="81">
        <v>42944</v>
      </c>
      <c r="D94" s="29">
        <v>13586.1</v>
      </c>
      <c r="G94" s="334"/>
      <c r="H94" s="334"/>
      <c r="I94" s="118"/>
      <c r="J94" s="349"/>
      <c r="K94" s="349"/>
      <c r="L94" s="349"/>
      <c r="M94" s="349"/>
      <c r="N94" s="349"/>
      <c r="O94" s="342"/>
      <c r="P94" s="342"/>
    </row>
    <row r="95" spans="3:16" ht="15.75" customHeight="1">
      <c r="C95" s="81">
        <v>42943</v>
      </c>
      <c r="D95" s="29">
        <v>6106.3</v>
      </c>
      <c r="F95" s="68"/>
      <c r="G95" s="334"/>
      <c r="H95" s="334"/>
      <c r="I95" s="118"/>
      <c r="J95" s="350"/>
      <c r="K95" s="350"/>
      <c r="L95" s="350"/>
      <c r="M95" s="350"/>
      <c r="N95" s="350"/>
      <c r="O95" s="342"/>
      <c r="P95" s="342"/>
    </row>
    <row r="96" spans="3:14" ht="15.75" customHeight="1">
      <c r="C96" s="81"/>
      <c r="F96" s="68"/>
      <c r="G96" s="346"/>
      <c r="H96" s="346"/>
      <c r="I96" s="124"/>
      <c r="J96" s="349"/>
      <c r="K96" s="349"/>
      <c r="L96" s="349"/>
      <c r="M96" s="349"/>
      <c r="N96" s="349"/>
    </row>
    <row r="97" spans="2:14" ht="18" customHeight="1">
      <c r="B97" s="347" t="s">
        <v>56</v>
      </c>
      <c r="C97" s="348"/>
      <c r="D97" s="133" t="e">
        <f>'[1]ЧТКЕ'!$G$6/1000</f>
        <v>#VALUE!</v>
      </c>
      <c r="E97" s="69"/>
      <c r="F97" s="125" t="s">
        <v>107</v>
      </c>
      <c r="G97" s="334"/>
      <c r="H97" s="334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34"/>
      <c r="H98" s="334"/>
      <c r="I98" s="68"/>
      <c r="J98" s="69"/>
      <c r="K98" s="69"/>
      <c r="L98" s="69"/>
      <c r="M98" s="69"/>
    </row>
    <row r="99" spans="2:13" ht="22.5" customHeight="1" hidden="1">
      <c r="B99" s="343" t="s">
        <v>59</v>
      </c>
      <c r="C99" s="344"/>
      <c r="D99" s="80">
        <v>0</v>
      </c>
      <c r="E99" s="51" t="s">
        <v>24</v>
      </c>
      <c r="F99" s="68"/>
      <c r="G99" s="334"/>
      <c r="H99" s="33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345"/>
      <c r="P101" s="34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5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4" sqref="F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312" t="s">
        <v>216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6"/>
    </row>
    <row r="2" spans="2:19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212</v>
      </c>
      <c r="O3" s="325" t="s">
        <v>213</v>
      </c>
      <c r="P3" s="325"/>
      <c r="Q3" s="325"/>
      <c r="R3" s="325"/>
      <c r="S3" s="325"/>
    </row>
    <row r="4" spans="1:19" ht="22.5" customHeight="1">
      <c r="A4" s="314"/>
      <c r="B4" s="316"/>
      <c r="C4" s="317"/>
      <c r="D4" s="318"/>
      <c r="E4" s="326" t="s">
        <v>209</v>
      </c>
      <c r="F4" s="328" t="s">
        <v>33</v>
      </c>
      <c r="G4" s="330" t="s">
        <v>210</v>
      </c>
      <c r="H4" s="323" t="s">
        <v>211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217</v>
      </c>
      <c r="P4" s="330" t="s">
        <v>49</v>
      </c>
      <c r="Q4" s="335" t="s">
        <v>48</v>
      </c>
      <c r="R4" s="91" t="s">
        <v>64</v>
      </c>
      <c r="S4" s="91"/>
    </row>
    <row r="5" spans="1:19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214</v>
      </c>
      <c r="L5" s="337"/>
      <c r="M5" s="338"/>
      <c r="N5" s="324"/>
      <c r="O5" s="333"/>
      <c r="P5" s="331"/>
      <c r="Q5" s="335"/>
      <c r="R5" s="339" t="s">
        <v>215</v>
      </c>
      <c r="S5" s="34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1069.71+0.5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186.62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6">
        <v>0</v>
      </c>
      <c r="D91" s="4" t="s">
        <v>35</v>
      </c>
      <c r="O91" s="78"/>
      <c r="S91" s="29"/>
    </row>
    <row r="92" spans="2:19" ht="30.75" hidden="1">
      <c r="B92" s="52" t="s">
        <v>53</v>
      </c>
      <c r="C92" s="29">
        <f>IF(P67&lt;0,ABS(P67/C91),0)</f>
        <v>0</v>
      </c>
      <c r="D92" s="4" t="s">
        <v>24</v>
      </c>
      <c r="G92" s="341"/>
      <c r="H92" s="341"/>
      <c r="I92" s="341"/>
      <c r="J92" s="341"/>
      <c r="K92" s="84"/>
      <c r="L92" s="84"/>
      <c r="M92" s="84"/>
      <c r="Q92" s="25"/>
      <c r="R92" s="25"/>
      <c r="S92" s="25"/>
    </row>
    <row r="93" spans="2:16" ht="34.5" customHeight="1" hidden="1">
      <c r="B93" s="53" t="s">
        <v>55</v>
      </c>
      <c r="C93" s="81">
        <v>42916</v>
      </c>
      <c r="D93" s="29">
        <v>14988.4</v>
      </c>
      <c r="G93" s="4" t="s">
        <v>58</v>
      </c>
      <c r="O93" s="342"/>
      <c r="P93" s="342"/>
    </row>
    <row r="94" spans="3:16" ht="15" hidden="1">
      <c r="C94" s="81">
        <v>42913</v>
      </c>
      <c r="D94" s="29">
        <v>9872.9</v>
      </c>
      <c r="G94" s="334"/>
      <c r="H94" s="334"/>
      <c r="I94" s="118"/>
      <c r="J94" s="349"/>
      <c r="K94" s="349"/>
      <c r="L94" s="349"/>
      <c r="M94" s="349"/>
      <c r="N94" s="349"/>
      <c r="O94" s="342"/>
      <c r="P94" s="342"/>
    </row>
    <row r="95" spans="3:16" ht="15.75" customHeight="1" hidden="1">
      <c r="C95" s="81">
        <v>42912</v>
      </c>
      <c r="D95" s="29">
        <v>4876.1</v>
      </c>
      <c r="F95" s="68"/>
      <c r="G95" s="334"/>
      <c r="H95" s="334"/>
      <c r="I95" s="118"/>
      <c r="J95" s="350"/>
      <c r="K95" s="350"/>
      <c r="L95" s="350"/>
      <c r="M95" s="350"/>
      <c r="N95" s="350"/>
      <c r="O95" s="342"/>
      <c r="P95" s="342"/>
    </row>
    <row r="96" spans="3:14" ht="15.75" customHeight="1" hidden="1">
      <c r="C96" s="81"/>
      <c r="F96" s="68"/>
      <c r="G96" s="346"/>
      <c r="H96" s="346"/>
      <c r="I96" s="124"/>
      <c r="J96" s="349"/>
      <c r="K96" s="349"/>
      <c r="L96" s="349"/>
      <c r="M96" s="349"/>
      <c r="N96" s="349"/>
    </row>
    <row r="97" spans="2:14" ht="18" customHeight="1" hidden="1">
      <c r="B97" s="347" t="s">
        <v>56</v>
      </c>
      <c r="C97" s="348"/>
      <c r="D97" s="133">
        <v>225.52589</v>
      </c>
      <c r="E97" s="69"/>
      <c r="F97" s="125" t="s">
        <v>107</v>
      </c>
      <c r="G97" s="334"/>
      <c r="H97" s="334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34"/>
      <c r="H98" s="334"/>
      <c r="I98" s="68"/>
      <c r="J98" s="69"/>
      <c r="K98" s="69"/>
      <c r="L98" s="69"/>
      <c r="M98" s="69"/>
    </row>
    <row r="99" spans="2:13" ht="22.5" customHeight="1" hidden="1">
      <c r="B99" s="343" t="s">
        <v>59</v>
      </c>
      <c r="C99" s="344"/>
      <c r="D99" s="80">
        <v>0</v>
      </c>
      <c r="E99" s="51" t="s">
        <v>24</v>
      </c>
      <c r="F99" s="68"/>
      <c r="G99" s="334"/>
      <c r="H99" s="33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345"/>
      <c r="P101" s="34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5" ht="15" hidden="1"/>
    <row r="126" ht="15" hidden="1"/>
    <row r="127" ht="15" hidden="1"/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3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41" sqref="O4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12" t="s">
        <v>207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6"/>
      <c r="T1" s="86"/>
      <c r="U1" s="87"/>
    </row>
    <row r="2" spans="2:21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201</v>
      </c>
      <c r="O3" s="325" t="s">
        <v>202</v>
      </c>
      <c r="P3" s="325"/>
      <c r="Q3" s="325"/>
      <c r="R3" s="325"/>
      <c r="S3" s="325"/>
      <c r="T3" s="325"/>
      <c r="U3" s="325"/>
    </row>
    <row r="4" spans="1:21" ht="22.5" customHeight="1">
      <c r="A4" s="314"/>
      <c r="B4" s="316"/>
      <c r="C4" s="317"/>
      <c r="D4" s="318"/>
      <c r="E4" s="326" t="s">
        <v>198</v>
      </c>
      <c r="F4" s="328" t="s">
        <v>33</v>
      </c>
      <c r="G4" s="330" t="s">
        <v>199</v>
      </c>
      <c r="H4" s="323" t="s">
        <v>200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208</v>
      </c>
      <c r="P4" s="330" t="s">
        <v>49</v>
      </c>
      <c r="Q4" s="335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204</v>
      </c>
      <c r="L5" s="337"/>
      <c r="M5" s="338"/>
      <c r="N5" s="324"/>
      <c r="O5" s="333"/>
      <c r="P5" s="331"/>
      <c r="Q5" s="335"/>
      <c r="R5" s="339" t="s">
        <v>203</v>
      </c>
      <c r="S5" s="340"/>
      <c r="T5" s="351" t="s">
        <v>194</v>
      </c>
      <c r="U5" s="351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883.59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243.89999999999998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41"/>
      <c r="H92" s="341"/>
      <c r="I92" s="341"/>
      <c r="J92" s="341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42"/>
      <c r="P93" s="342"/>
    </row>
    <row r="94" spans="3:16" ht="15">
      <c r="C94" s="81">
        <v>42885</v>
      </c>
      <c r="D94" s="29">
        <v>10664.9</v>
      </c>
      <c r="F94" s="113" t="s">
        <v>58</v>
      </c>
      <c r="G94" s="334"/>
      <c r="H94" s="334"/>
      <c r="I94" s="118"/>
      <c r="J94" s="349"/>
      <c r="K94" s="349"/>
      <c r="L94" s="349"/>
      <c r="M94" s="349"/>
      <c r="N94" s="349"/>
      <c r="O94" s="342"/>
      <c r="P94" s="342"/>
    </row>
    <row r="95" spans="3:16" ht="15.75" customHeight="1">
      <c r="C95" s="81">
        <v>42884</v>
      </c>
      <c r="D95" s="29">
        <v>6919.44</v>
      </c>
      <c r="F95" s="68"/>
      <c r="G95" s="334"/>
      <c r="H95" s="334"/>
      <c r="I95" s="118"/>
      <c r="J95" s="350"/>
      <c r="K95" s="350"/>
      <c r="L95" s="350"/>
      <c r="M95" s="350"/>
      <c r="N95" s="350"/>
      <c r="O95" s="342"/>
      <c r="P95" s="342"/>
    </row>
    <row r="96" spans="3:14" ht="15.75" customHeight="1">
      <c r="C96" s="81"/>
      <c r="F96" s="68"/>
      <c r="G96" s="346"/>
      <c r="H96" s="346"/>
      <c r="I96" s="124"/>
      <c r="J96" s="349"/>
      <c r="K96" s="349"/>
      <c r="L96" s="349"/>
      <c r="M96" s="349"/>
      <c r="N96" s="349"/>
    </row>
    <row r="97" spans="2:14" ht="18" customHeight="1">
      <c r="B97" s="347" t="s">
        <v>56</v>
      </c>
      <c r="C97" s="348"/>
      <c r="D97" s="133">
        <v>1135.71022</v>
      </c>
      <c r="E97" s="69"/>
      <c r="F97" s="125" t="s">
        <v>107</v>
      </c>
      <c r="G97" s="334"/>
      <c r="H97" s="334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34"/>
      <c r="H98" s="334"/>
      <c r="I98" s="68"/>
      <c r="J98" s="69"/>
      <c r="K98" s="69"/>
      <c r="L98" s="69"/>
      <c r="M98" s="69"/>
    </row>
    <row r="99" spans="2:13" ht="22.5" customHeight="1" hidden="1">
      <c r="B99" s="343" t="s">
        <v>59</v>
      </c>
      <c r="C99" s="344"/>
      <c r="D99" s="80">
        <v>0</v>
      </c>
      <c r="E99" s="51" t="s">
        <v>24</v>
      </c>
      <c r="F99" s="68"/>
      <c r="G99" s="334"/>
      <c r="H99" s="33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45"/>
      <c r="P101" s="34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F2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12" t="s">
        <v>196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6"/>
      <c r="T1" s="86"/>
      <c r="U1" s="87"/>
    </row>
    <row r="2" spans="2:21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191</v>
      </c>
      <c r="O3" s="325" t="s">
        <v>190</v>
      </c>
      <c r="P3" s="325"/>
      <c r="Q3" s="325"/>
      <c r="R3" s="325"/>
      <c r="S3" s="325"/>
      <c r="T3" s="325"/>
      <c r="U3" s="325"/>
    </row>
    <row r="4" spans="1:21" ht="22.5" customHeight="1">
      <c r="A4" s="314"/>
      <c r="B4" s="316"/>
      <c r="C4" s="317"/>
      <c r="D4" s="318"/>
      <c r="E4" s="326" t="s">
        <v>187</v>
      </c>
      <c r="F4" s="328" t="s">
        <v>33</v>
      </c>
      <c r="G4" s="330" t="s">
        <v>188</v>
      </c>
      <c r="H4" s="323" t="s">
        <v>189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197</v>
      </c>
      <c r="P4" s="330" t="s">
        <v>49</v>
      </c>
      <c r="Q4" s="335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192</v>
      </c>
      <c r="L5" s="337"/>
      <c r="M5" s="338"/>
      <c r="N5" s="324"/>
      <c r="O5" s="333"/>
      <c r="P5" s="331"/>
      <c r="Q5" s="335"/>
      <c r="R5" s="339" t="s">
        <v>193</v>
      </c>
      <c r="S5" s="340"/>
      <c r="T5" s="351" t="s">
        <v>194</v>
      </c>
      <c r="U5" s="351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639.69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211.96000000000004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41"/>
      <c r="H92" s="341"/>
      <c r="I92" s="341"/>
      <c r="J92" s="341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42"/>
      <c r="P93" s="342"/>
    </row>
    <row r="94" spans="3:16" ht="15">
      <c r="C94" s="81">
        <v>42852</v>
      </c>
      <c r="D94" s="29">
        <v>13266.8</v>
      </c>
      <c r="F94" s="113" t="s">
        <v>58</v>
      </c>
      <c r="G94" s="334"/>
      <c r="H94" s="334"/>
      <c r="I94" s="118"/>
      <c r="J94" s="349"/>
      <c r="K94" s="349"/>
      <c r="L94" s="349"/>
      <c r="M94" s="349"/>
      <c r="N94" s="349"/>
      <c r="O94" s="342"/>
      <c r="P94" s="342"/>
    </row>
    <row r="95" spans="3:16" ht="15.75" customHeight="1">
      <c r="C95" s="81">
        <v>42851</v>
      </c>
      <c r="D95" s="29">
        <v>6064.2</v>
      </c>
      <c r="F95" s="68"/>
      <c r="G95" s="334"/>
      <c r="H95" s="334"/>
      <c r="I95" s="118"/>
      <c r="J95" s="350"/>
      <c r="K95" s="350"/>
      <c r="L95" s="350"/>
      <c r="M95" s="350"/>
      <c r="N95" s="350"/>
      <c r="O95" s="342"/>
      <c r="P95" s="342"/>
    </row>
    <row r="96" spans="3:14" ht="15.75" customHeight="1">
      <c r="C96" s="81"/>
      <c r="F96" s="68"/>
      <c r="G96" s="346"/>
      <c r="H96" s="346"/>
      <c r="I96" s="124"/>
      <c r="J96" s="349"/>
      <c r="K96" s="349"/>
      <c r="L96" s="349"/>
      <c r="M96" s="349"/>
      <c r="N96" s="349"/>
    </row>
    <row r="97" spans="2:14" ht="18" customHeight="1">
      <c r="B97" s="347" t="s">
        <v>56</v>
      </c>
      <c r="C97" s="348"/>
      <c r="D97" s="133">
        <v>102.57358</v>
      </c>
      <c r="E97" s="69"/>
      <c r="F97" s="125" t="s">
        <v>107</v>
      </c>
      <c r="G97" s="334"/>
      <c r="H97" s="334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34"/>
      <c r="H98" s="334"/>
      <c r="I98" s="68"/>
      <c r="J98" s="69"/>
      <c r="K98" s="69"/>
      <c r="L98" s="69"/>
      <c r="M98" s="69"/>
    </row>
    <row r="99" spans="2:13" ht="22.5" customHeight="1" hidden="1">
      <c r="B99" s="343" t="s">
        <v>59</v>
      </c>
      <c r="C99" s="344"/>
      <c r="D99" s="80">
        <v>0</v>
      </c>
      <c r="E99" s="51" t="s">
        <v>24</v>
      </c>
      <c r="F99" s="68"/>
      <c r="G99" s="334"/>
      <c r="H99" s="33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45"/>
      <c r="P101" s="34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12" t="s">
        <v>185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7"/>
      <c r="T1" s="246"/>
      <c r="U1" s="249"/>
      <c r="V1" s="259"/>
      <c r="W1" s="259"/>
    </row>
    <row r="2" spans="2:23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163</v>
      </c>
      <c r="O3" s="325" t="s">
        <v>164</v>
      </c>
      <c r="P3" s="325"/>
      <c r="Q3" s="325"/>
      <c r="R3" s="325"/>
      <c r="S3" s="325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14"/>
      <c r="B4" s="316"/>
      <c r="C4" s="317"/>
      <c r="D4" s="318"/>
      <c r="E4" s="326" t="s">
        <v>153</v>
      </c>
      <c r="F4" s="328" t="s">
        <v>33</v>
      </c>
      <c r="G4" s="330" t="s">
        <v>162</v>
      </c>
      <c r="H4" s="323" t="s">
        <v>176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186</v>
      </c>
      <c r="P4" s="330" t="s">
        <v>49</v>
      </c>
      <c r="Q4" s="335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169</v>
      </c>
      <c r="L5" s="337"/>
      <c r="M5" s="338"/>
      <c r="N5" s="324"/>
      <c r="O5" s="333"/>
      <c r="P5" s="331"/>
      <c r="Q5" s="335"/>
      <c r="R5" s="336" t="s">
        <v>102</v>
      </c>
      <c r="S5" s="338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41"/>
      <c r="H92" s="341"/>
      <c r="I92" s="341"/>
      <c r="J92" s="341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42"/>
      <c r="P93" s="342"/>
    </row>
    <row r="94" spans="3:16" ht="15">
      <c r="C94" s="81">
        <v>42824</v>
      </c>
      <c r="D94" s="29">
        <v>11112.7</v>
      </c>
      <c r="F94" s="113" t="s">
        <v>58</v>
      </c>
      <c r="G94" s="334"/>
      <c r="H94" s="334"/>
      <c r="I94" s="118"/>
      <c r="J94" s="349"/>
      <c r="K94" s="349"/>
      <c r="L94" s="349"/>
      <c r="M94" s="349"/>
      <c r="N94" s="349"/>
      <c r="O94" s="342"/>
      <c r="P94" s="342"/>
    </row>
    <row r="95" spans="3:16" ht="15.75" customHeight="1">
      <c r="C95" s="81">
        <v>42823</v>
      </c>
      <c r="D95" s="29">
        <v>8830.3</v>
      </c>
      <c r="F95" s="68"/>
      <c r="G95" s="334"/>
      <c r="H95" s="334"/>
      <c r="I95" s="118"/>
      <c r="J95" s="350"/>
      <c r="K95" s="350"/>
      <c r="L95" s="350"/>
      <c r="M95" s="350"/>
      <c r="N95" s="350"/>
      <c r="O95" s="342"/>
      <c r="P95" s="342"/>
    </row>
    <row r="96" spans="3:14" ht="15.75" customHeight="1">
      <c r="C96" s="81"/>
      <c r="F96" s="68"/>
      <c r="G96" s="346"/>
      <c r="H96" s="346"/>
      <c r="I96" s="124"/>
      <c r="J96" s="349"/>
      <c r="K96" s="349"/>
      <c r="L96" s="349"/>
      <c r="M96" s="349"/>
      <c r="N96" s="349"/>
    </row>
    <row r="97" spans="2:14" ht="18" customHeight="1">
      <c r="B97" s="347" t="s">
        <v>56</v>
      </c>
      <c r="C97" s="348"/>
      <c r="D97" s="133">
        <v>1399.2856000000002</v>
      </c>
      <c r="E97" s="69"/>
      <c r="F97" s="125" t="s">
        <v>107</v>
      </c>
      <c r="G97" s="334"/>
      <c r="H97" s="334"/>
      <c r="I97" s="126"/>
      <c r="J97" s="349"/>
      <c r="K97" s="349"/>
      <c r="L97" s="349"/>
      <c r="M97" s="349"/>
      <c r="N97" s="349"/>
    </row>
    <row r="98" spans="6:13" ht="9.75" customHeight="1">
      <c r="F98" s="68"/>
      <c r="G98" s="334"/>
      <c r="H98" s="334"/>
      <c r="I98" s="68"/>
      <c r="J98" s="69"/>
      <c r="K98" s="69"/>
      <c r="L98" s="69"/>
      <c r="M98" s="69"/>
    </row>
    <row r="99" spans="2:13" ht="22.5" customHeight="1" hidden="1">
      <c r="B99" s="343" t="s">
        <v>59</v>
      </c>
      <c r="C99" s="344"/>
      <c r="D99" s="80">
        <v>0</v>
      </c>
      <c r="E99" s="51" t="s">
        <v>24</v>
      </c>
      <c r="F99" s="68"/>
      <c r="G99" s="334"/>
      <c r="H99" s="334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45"/>
      <c r="P101" s="34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8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9" sqref="M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12" t="s">
        <v>151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7"/>
    </row>
    <row r="2" spans="2:19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144</v>
      </c>
      <c r="O3" s="325" t="s">
        <v>148</v>
      </c>
      <c r="P3" s="325"/>
      <c r="Q3" s="325"/>
      <c r="R3" s="325"/>
      <c r="S3" s="325"/>
    </row>
    <row r="4" spans="1:19" ht="22.5" customHeight="1">
      <c r="A4" s="314"/>
      <c r="B4" s="316"/>
      <c r="C4" s="317"/>
      <c r="D4" s="318"/>
      <c r="E4" s="326" t="s">
        <v>149</v>
      </c>
      <c r="F4" s="328" t="s">
        <v>33</v>
      </c>
      <c r="G4" s="330" t="s">
        <v>145</v>
      </c>
      <c r="H4" s="323" t="s">
        <v>146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152</v>
      </c>
      <c r="P4" s="330" t="s">
        <v>49</v>
      </c>
      <c r="Q4" s="335" t="s">
        <v>48</v>
      </c>
      <c r="R4" s="91" t="s">
        <v>64</v>
      </c>
      <c r="S4" s="92" t="s">
        <v>63</v>
      </c>
    </row>
    <row r="5" spans="1:19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147</v>
      </c>
      <c r="L5" s="337"/>
      <c r="M5" s="338"/>
      <c r="N5" s="324"/>
      <c r="O5" s="333"/>
      <c r="P5" s="331"/>
      <c r="Q5" s="335"/>
      <c r="R5" s="336" t="s">
        <v>102</v>
      </c>
      <c r="S5" s="338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41"/>
      <c r="H89" s="341"/>
      <c r="I89" s="341"/>
      <c r="J89" s="341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42"/>
      <c r="P90" s="342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34"/>
      <c r="H91" s="334"/>
      <c r="I91" s="118"/>
      <c r="J91" s="349"/>
      <c r="K91" s="349"/>
      <c r="L91" s="349"/>
      <c r="M91" s="349"/>
      <c r="N91" s="349"/>
      <c r="O91" s="342"/>
      <c r="P91" s="342"/>
    </row>
    <row r="92" spans="3:16" ht="15.75" customHeight="1">
      <c r="C92" s="81">
        <v>42790</v>
      </c>
      <c r="D92" s="29">
        <v>4206.9</v>
      </c>
      <c r="F92" s="68"/>
      <c r="G92" s="334"/>
      <c r="H92" s="334"/>
      <c r="I92" s="118"/>
      <c r="J92" s="350"/>
      <c r="K92" s="350"/>
      <c r="L92" s="350"/>
      <c r="M92" s="350"/>
      <c r="N92" s="350"/>
      <c r="O92" s="342"/>
      <c r="P92" s="342"/>
    </row>
    <row r="93" spans="3:14" ht="15.75" customHeight="1">
      <c r="C93" s="81"/>
      <c r="F93" s="68"/>
      <c r="G93" s="346"/>
      <c r="H93" s="346"/>
      <c r="I93" s="124"/>
      <c r="J93" s="349"/>
      <c r="K93" s="349"/>
      <c r="L93" s="349"/>
      <c r="M93" s="349"/>
      <c r="N93" s="349"/>
    </row>
    <row r="94" spans="2:14" ht="18.75" customHeight="1">
      <c r="B94" s="347" t="s">
        <v>56</v>
      </c>
      <c r="C94" s="348"/>
      <c r="D94" s="133">
        <v>7713.34596</v>
      </c>
      <c r="E94" s="69"/>
      <c r="F94" s="125" t="s">
        <v>107</v>
      </c>
      <c r="G94" s="334"/>
      <c r="H94" s="334"/>
      <c r="I94" s="126"/>
      <c r="J94" s="349"/>
      <c r="K94" s="349"/>
      <c r="L94" s="349"/>
      <c r="M94" s="349"/>
      <c r="N94" s="349"/>
    </row>
    <row r="95" spans="6:13" ht="9.75" customHeight="1">
      <c r="F95" s="68"/>
      <c r="G95" s="334"/>
      <c r="H95" s="334"/>
      <c r="I95" s="68"/>
      <c r="J95" s="69"/>
      <c r="K95" s="69"/>
      <c r="L95" s="69"/>
      <c r="M95" s="69"/>
    </row>
    <row r="96" spans="2:13" ht="22.5" customHeight="1" hidden="1">
      <c r="B96" s="343" t="s">
        <v>59</v>
      </c>
      <c r="C96" s="344"/>
      <c r="D96" s="80">
        <v>0</v>
      </c>
      <c r="E96" s="51" t="s">
        <v>24</v>
      </c>
      <c r="F96" s="68"/>
      <c r="G96" s="334"/>
      <c r="H96" s="334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45"/>
      <c r="P98" s="345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9" sqref="L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12" t="s">
        <v>143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7"/>
    </row>
    <row r="2" spans="2:19" s="1" customFormat="1" ht="15.75" customHeight="1">
      <c r="B2" s="313"/>
      <c r="C2" s="313"/>
      <c r="D2" s="313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14"/>
      <c r="B3" s="316"/>
      <c r="C3" s="317" t="s">
        <v>0</v>
      </c>
      <c r="D3" s="318" t="s">
        <v>134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123</v>
      </c>
      <c r="O3" s="325" t="s">
        <v>118</v>
      </c>
      <c r="P3" s="325"/>
      <c r="Q3" s="325"/>
      <c r="R3" s="325"/>
      <c r="S3" s="325"/>
    </row>
    <row r="4" spans="1:19" ht="22.5" customHeight="1">
      <c r="A4" s="314"/>
      <c r="B4" s="316"/>
      <c r="C4" s="317"/>
      <c r="D4" s="318"/>
      <c r="E4" s="326" t="s">
        <v>135</v>
      </c>
      <c r="F4" s="328" t="s">
        <v>33</v>
      </c>
      <c r="G4" s="330" t="s">
        <v>136</v>
      </c>
      <c r="H4" s="323" t="s">
        <v>137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124</v>
      </c>
      <c r="P4" s="330" t="s">
        <v>49</v>
      </c>
      <c r="Q4" s="335" t="s">
        <v>48</v>
      </c>
      <c r="R4" s="91" t="s">
        <v>64</v>
      </c>
      <c r="S4" s="92" t="s">
        <v>63</v>
      </c>
    </row>
    <row r="5" spans="1:19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142</v>
      </c>
      <c r="L5" s="337"/>
      <c r="M5" s="338"/>
      <c r="N5" s="324"/>
      <c r="O5" s="333"/>
      <c r="P5" s="331"/>
      <c r="Q5" s="335"/>
      <c r="R5" s="336" t="s">
        <v>102</v>
      </c>
      <c r="S5" s="338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41"/>
      <c r="H89" s="341"/>
      <c r="I89" s="341"/>
      <c r="J89" s="341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42"/>
      <c r="P90" s="342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34"/>
      <c r="H91" s="334"/>
      <c r="I91" s="118"/>
      <c r="J91" s="349"/>
      <c r="K91" s="349"/>
      <c r="L91" s="349"/>
      <c r="M91" s="349"/>
      <c r="N91" s="349"/>
      <c r="O91" s="342"/>
      <c r="P91" s="342"/>
    </row>
    <row r="92" spans="3:16" ht="15.75" customHeight="1">
      <c r="C92" s="81">
        <v>42762</v>
      </c>
      <c r="D92" s="29">
        <v>8862.4</v>
      </c>
      <c r="F92" s="68"/>
      <c r="G92" s="334"/>
      <c r="H92" s="334"/>
      <c r="I92" s="118"/>
      <c r="J92" s="350"/>
      <c r="K92" s="350"/>
      <c r="L92" s="350"/>
      <c r="M92" s="350"/>
      <c r="N92" s="350"/>
      <c r="O92" s="342"/>
      <c r="P92" s="342"/>
    </row>
    <row r="93" spans="3:14" ht="15.75" customHeight="1">
      <c r="C93" s="81"/>
      <c r="F93" s="68"/>
      <c r="G93" s="346"/>
      <c r="H93" s="346"/>
      <c r="I93" s="124"/>
      <c r="J93" s="349"/>
      <c r="K93" s="349"/>
      <c r="L93" s="349"/>
      <c r="M93" s="349"/>
      <c r="N93" s="349"/>
    </row>
    <row r="94" spans="2:14" ht="18.75" customHeight="1">
      <c r="B94" s="347" t="s">
        <v>56</v>
      </c>
      <c r="C94" s="348"/>
      <c r="D94" s="133">
        <f>9505303.41/1000</f>
        <v>9505.30341</v>
      </c>
      <c r="E94" s="69"/>
      <c r="F94" s="125" t="s">
        <v>107</v>
      </c>
      <c r="G94" s="334"/>
      <c r="H94" s="334"/>
      <c r="I94" s="126"/>
      <c r="J94" s="349"/>
      <c r="K94" s="349"/>
      <c r="L94" s="349"/>
      <c r="M94" s="349"/>
      <c r="N94" s="349"/>
    </row>
    <row r="95" spans="6:13" ht="9.75" customHeight="1">
      <c r="F95" s="68"/>
      <c r="G95" s="334"/>
      <c r="H95" s="334"/>
      <c r="I95" s="68"/>
      <c r="J95" s="69"/>
      <c r="K95" s="69"/>
      <c r="L95" s="69"/>
      <c r="M95" s="69"/>
    </row>
    <row r="96" spans="2:13" ht="22.5" customHeight="1" hidden="1">
      <c r="B96" s="343" t="s">
        <v>59</v>
      </c>
      <c r="C96" s="344"/>
      <c r="D96" s="80">
        <v>0</v>
      </c>
      <c r="E96" s="51" t="s">
        <v>24</v>
      </c>
      <c r="F96" s="68"/>
      <c r="G96" s="334"/>
      <c r="H96" s="334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45"/>
      <c r="P98" s="345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2017-09-29T07:11:50Z</cp:lastPrinted>
  <dcterms:created xsi:type="dcterms:W3CDTF">2003-07-28T11:27:56Z</dcterms:created>
  <dcterms:modified xsi:type="dcterms:W3CDTF">2017-09-29T07:21:06Z</dcterms:modified>
  <cp:category/>
  <cp:version/>
  <cp:contentType/>
  <cp:contentStatus/>
</cp:coreProperties>
</file>